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97" sheetId="1" state="visible" r:id="rId1"/>
  </sheets>
  <definedNames>
    <definedName name="_xlnm._FilterDatabase" localSheetId="0" hidden="1">'197'!$A$10:$M$34</definedName>
    <definedName name="_xlnm.Print_Area" localSheetId="0" hidden="0">'197'!$A$1:$AE$36</definedName>
  </definedNames>
  <calcPr/>
</workbook>
</file>

<file path=xl/sharedStrings.xml><?xml version="1.0" encoding="utf-8"?>
<sst xmlns="http://schemas.openxmlformats.org/spreadsheetml/2006/main" count="71" uniqueCount="71">
  <si>
    <t xml:space="preserve">Приложение № 3</t>
  </si>
  <si>
    <t xml:space="preserve">Расчет прогноза поступлений администрируемых доходов в областной бюджет Новосибирской области на очередной финансовый год и плановый период</t>
  </si>
  <si>
    <t xml:space="preserve">Контрольное управление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</si>
  <si>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</si>
  <si>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 xml:space="preserve">(код главного администратора доходов)</t>
  </si>
  <si>
    <t xml:space="preserve">Вид дохода (норматив зачисления в областной бюджет), вид правонарушения </t>
  </si>
  <si>
    <t xml:space="preserve">Норматив зачисления,статья</t>
  </si>
  <si>
    <t xml:space="preserve">Количество поступлений</t>
  </si>
  <si>
    <t xml:space="preserve">Сумма поступлений, руб.</t>
  </si>
  <si>
    <t>Среднее</t>
  </si>
  <si>
    <t xml:space="preserve">Прогноз, руб.</t>
  </si>
  <si>
    <t xml:space="preserve">Не оплачено, количество</t>
  </si>
  <si>
    <t xml:space="preserve">Не оплачено, руб.</t>
  </si>
  <si>
    <t xml:space="preserve">Уровень собира-емости, %</t>
  </si>
  <si>
    <t xml:space="preserve">Прогноз 2025 год</t>
  </si>
  <si>
    <t xml:space="preserve">Прогноз 5 мес. 2025 года</t>
  </si>
  <si>
    <t xml:space="preserve">Факт 2025 год</t>
  </si>
  <si>
    <t xml:space="preserve">Уточнение прогноза</t>
  </si>
  <si>
    <t xml:space="preserve">Ожижаемое 2025 год</t>
  </si>
  <si>
    <t xml:space="preserve">2023 год</t>
  </si>
  <si>
    <t xml:space="preserve">2024 год</t>
  </si>
  <si>
    <t xml:space="preserve">2025 год</t>
  </si>
  <si>
    <t>количество</t>
  </si>
  <si>
    <t xml:space="preserve">размер, руб.</t>
  </si>
  <si>
    <t xml:space="preserve">2026 год</t>
  </si>
  <si>
    <t xml:space="preserve">2027 год</t>
  </si>
  <si>
    <t xml:space="preserve">2028 год</t>
  </si>
  <si>
    <t>Количество</t>
  </si>
  <si>
    <t xml:space="preserve">Средний размер, руб.</t>
  </si>
  <si>
    <t xml:space="preserve">Общая сумма, руб.</t>
  </si>
  <si>
    <r>
      <rPr>
        <b/>
        <sz val="10"/>
        <rFont val="Times New Roman"/>
      </rPr>
      <t xml:space="preserve">19711601072010000140 </t>
    </r>
    <r>
      <rPr>
        <sz val="10"/>
        <rFont val="Times New Roman"/>
      </rPr>
      <t xml:space="preserve">Административные штрафы, установленные главой 7 Кодекса Российской Федерации об административных правонарушениях, </t>
    </r>
    <r>
      <rPr>
        <b/>
        <sz val="10"/>
        <rFont val="Times New Roman"/>
      </rPr>
      <t xml:space="preserve">за административные правонарушения в области охраны собственности,</t>
    </r>
    <r>
      <rPr>
        <sz val="10"/>
        <rFont val="Times New Roman"/>
      </rPr>
      <t xml:space="preserve"> налагаемые должностными лицами органов исполнительной власти субъектов Российской Федерации, учреждениями субъектов Российской Федерации</t>
    </r>
  </si>
  <si>
    <t xml:space="preserve">Принятие решения о способе определения поставщика (подрядчика, исполнителя), в том числе решения о закупке товаров, работ, услуг для обеспечения государственных и муниципальных нужд у единственного поставщика (подрядчика, исполнителя), с нарушением требований, установленных законодательством Российской Федерации о контрактной системе в сфере закупок товаров, работ, услуг для обеспечения государственных и муниципальных нужд (далее также - законодательство Российской Федерации о контрактной системе в сфере закупок), за исключением случаев, предусмотренных частями 2, 2.1 и 4 настоящей статьи (в ред. Федерального закона от 03.07.2019 N 171-ФЗ)</t>
  </si>
  <si>
    <t xml:space="preserve">ч.1 ст.7.29</t>
  </si>
  <si>
    <t xml:space="preserve">Нарушение законодательства Российской Федерациио контрактной системе в сфере закупок при планировании покупок</t>
  </si>
  <si>
    <t xml:space="preserve">ч.1 ст.7.29.3</t>
  </si>
  <si>
    <t xml:space="preserve">ч. 2 ст. 7.29.3</t>
  </si>
  <si>
    <t xml:space="preserve">Размещение должностным лицом заказчика, должностным лицом уполномоченного органа, должностным лицом уполномоченного учреждения, специализированной организацией в единой информационной системе в сфере закупок или направление оператору электронной площадки информации и документов, подлежащих размещению, направлению, с нарушением требований, предусмотренных законодательством Российской Федерации о контрактной системе в сфере закупок, либо нарушение указанными лицами порядка предоставления конкурсной документации или документации об аукционе, порядка разъяснения положений такой документации, порядка приема заявок на участие в определении поставщика (подрядчика, исполнителя), окончательных предложений, за исключением случаев, предусмотренных частями 1 - 1.3 и 1.7 настоящей статьи</t>
  </si>
  <si>
    <t xml:space="preserve">ч.1.4 ст.7.30</t>
  </si>
  <si>
    <t xml:space="preserve">Отклонение заявки на участие в конкурсе, отказ в допуске к участию в аукционе, признание заявки на участие в закупке товара, работы или услуги не соответствующей требованиям конкурсной документации, документации об аукционе, отстранение участника закупки от участия в конкурсе, аукционе (далее в настоящей части - отказ в допуске к участию в закупке) по основаниям, не предусмотренным законодательством Российской Федерации о контрактной системе в сфере закупок, признание заявки на участие в конкурсе надлежащей, соответствующей требованиям конкурсной документации, признание заявки на участие в аукционе надлежащей, соответствующей требованиям документации об аукционе, в случае, если участнику, подавшему такую заявку, должно быть отказано в допуске к участию в закупке в соответствии с требованиями законодательства Российской Федерации о контрактной системе в сфере закупок, или нарушение порядка вскрытия конвертов с заявками на участие в конкурсе, закрытом аукционе и (или) открытия доступа к таким заявкам, поданным в форме электронных документов, нарушение порядка рассмотрения и оценки таких заявок, окончательных предложений участников закупки, установленного конкурсной документацией</t>
  </si>
  <si>
    <t xml:space="preserve">ч.2 ст. 7.30</t>
  </si>
  <si>
    <t xml:space="preserve">Неразмещение должностным лицом заказчика, должностным лицом уполномоченного органа, должностным лицом уполномоченного учреждения, специализированной организацией в единой информационной системе в сфере закупок информации и документов, размещение которых предусмотрено в соответствии с законодательством Российской Федерации о контрактной системе в сфере закупок</t>
  </si>
  <si>
    <t xml:space="preserve">ч.3 ст.7.30</t>
  </si>
  <si>
    <t xml:space="preserve">Отклонение заявки на участие в запросе котировок, отстранение участника закупки от участия в запросе предложений (далее в настоящей части - отказ в допуске к участию в запросе) по основаниям, не предусмотренным законодательством Российской Федерации о контрактной системе в сфере закупок, признание заявки на участие в запросе котировок, запросе предложений, окончательного предложения соответствующими требованиям извещения о проведении запроса котировок, документации о проведении запроса предложений в случае, если участнику закупки, подавшему такую заявку, должно быть отказано в допуске к участию в запросе в соответствии с требованиями законодательства Российской Федерации о контрактной системе в сфере закупок, или нарушение порядка вскрытия конвертов с заявками на участие в запросе котировок, запросе предложений, с окончательными предложениями и (или) открытия доступа к поданным в форме электронных документо таким заявкам, окончательным предложениям, нарушение порядка рассмотрения и оценки заяво на участие в запросе предложений, окончательных предложений, установленного документациейо проведении запроса предложений
</t>
  </si>
  <si>
    <t xml:space="preserve">ч.6 ст.7.30</t>
  </si>
  <si>
    <t xml:space="preserve">Осуществление закупок товаров, работ, услуг для обеспечения государственных и муниципальных нужд у субъектов малого предпринимательства, социально ориентированных некоммерческих организаций в размере менее размера, предусмотренного законодательством Российской Федерации о контрактной системе в сфере закупок</t>
  </si>
  <si>
    <t xml:space="preserve">ч.11 ст. 7.30</t>
  </si>
  <si>
    <t xml:space="preserve">Нарушение заказчиком, оператором электронной площадки, оператором специализированной площадки, кредитной организацией установленных законодательством Российской Федерации и иными нормативными правовыми актами о контрактной системе в сфере закупок требований к порядку либо сроку размещения информации и документов или направления их для размещения в реестрах, предусмотренных указанными законодательством и нормативными правовыми актами, либо неразмещение информации и документов или ненаправление их для размещения в реестрах, предусмотренных указанными законодательством и нормативными правовыми актами</t>
  </si>
  <si>
    <t xml:space="preserve">ч.9 ст.7.30.1</t>
  </si>
  <si>
    <t xml:space="preserve">Ненаправление, несвоевременное направление в орган, уполномоченный на осуществление контроля в сфере закупок, информации, подлежащей включению в реестр недобросовестных поставщиков (подрядчиков, исполнителей), или непредставление, несвоевременное представление в федеральный орган исполнительной власти, орган исполнительной власти субъекта Российской Федерации, орган местного самоуправления, уполномоченные на ведение реестра контрактов, заключенных заказчиками, реестра контрактов, содержащего сведения, составляющие государственную тайну, информации (сведений) и (или) документов, подлежащих включению в такие реестры контрактов, если направление, представление указанных информации (сведений) и (или) документов являются обязательными в соответствии с законодательством Российской Федерации о контрактной системе в сфере закупок, или представление, направление недостоверной информации (сведений) и (или) документов, содержащих недостоверную информацию</t>
  </si>
  <si>
    <t xml:space="preserve">ч.2 ст. 7.31</t>
  </si>
  <si>
    <t xml:space="preserve">Нарушение должностным лицом заказчика срока и порядка оплаты товаров (работ, услуг) при осуществлении закупок для обеспечения государственных и муниципальных нужд, в том числе неисполнение обязанности по обеспечению авансирования, предусмотренного государственным или муниципальным контрактом</t>
  </si>
  <si>
    <t xml:space="preserve">ч.1 ст. 7.32.5</t>
  </si>
  <si>
    <r>
      <rPr>
        <b/>
        <sz val="10"/>
        <rFont val="Times New Roman"/>
      </rPr>
      <t>19711601152010000140</t>
    </r>
    <r>
      <rPr>
        <sz val="10"/>
        <rFont val="Times New Roman"/>
      </rPr>
      <t xml:space="preserve"> Административные штрафы, установленные главой 15 Кодекса Российской Федерации об административных правонарушениях, </t>
    </r>
    <r>
      <rPr>
        <b/>
        <sz val="10"/>
        <rFont val="Times New Roman"/>
      </rPr>
      <t xml:space="preserve">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</t>
    </r>
    <r>
      <rPr>
        <sz val="10"/>
        <rFont val="Times New Roman"/>
      </rPr>
      <t xml:space="preserve">), налагаемые должностными лицами органов исполнительной власти субъектов Российской Федерации, учреждениями субъектов Российской Федерации</t>
    </r>
  </si>
  <si>
    <t xml:space="preserve">Невыполнение государственного (муниципального) задания</t>
  </si>
  <si>
    <t xml:space="preserve">ч.1 ст.15.15.5-1 </t>
  </si>
  <si>
    <r>
      <rPr>
        <b/>
        <sz val="10"/>
        <rFont val="Times New Roman"/>
      </rPr>
      <t>19711601156010000140</t>
    </r>
    <r>
      <rPr>
        <sz val="10"/>
        <rFont val="Times New Roman"/>
      </rPr>
      <t xml:space="preserve">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</t>
    </r>
    <r>
      <rPr>
        <b/>
        <sz val="10"/>
        <rFont val="Times New Roman"/>
      </rPr>
      <t xml:space="preserve"> связанные с нецелевым использованием бюджетных средств,</t>
    </r>
    <r>
      <rPr>
        <sz val="10"/>
        <rFont val="Times New Roman"/>
      </rPr>
      <t xml:space="preserve">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субъекта Российской Федерации</t>
    </r>
  </si>
  <si>
    <t xml:space="preserve">Нецелевое использование бюджетных средств</t>
  </si>
  <si>
    <t xml:space="preserve">ст. 15.14</t>
  </si>
  <si>
    <t xml:space="preserve">Нарушение юридическим лицом, индивидуальным предпринимателем, физическим лицом, являющимися получателями субсидий, условий их предоставления, за исключением случаев, предусмотренных статьей 15.14 настоящего Кодекса, </t>
  </si>
  <si>
    <t xml:space="preserve">ч. 2 ст. 15.15.5</t>
  </si>
  <si>
    <t xml:space="preserve">Нарушение финансовым органом, главным распорядителем (распорядителем) или получателем средств бюджета, которому предоставлены межбюджетные трансферты, порядка и (или) условий предоставления (расходования) межбюджетных трансфертов, за исключением случаев, предусмотренных статьей 15.14 настоящего Кодекса, </t>
  </si>
  <si>
    <t xml:space="preserve">ч.3 ст. 15.15.3 </t>
  </si>
  <si>
    <r>
      <rPr>
        <b/>
        <sz val="10"/>
        <rFont val="Times New Roman"/>
      </rPr>
      <t>19711601192010000140</t>
    </r>
    <r>
      <rPr>
        <sz val="10"/>
        <rFont val="Times New Roman"/>
      </rPr>
      <t xml:space="preserve">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</t>
    </r>
    <r>
      <rPr>
        <b/>
        <sz val="10"/>
        <rFont val="Times New Roman"/>
      </rPr>
      <t xml:space="preserve">налагаемые должностными лицами органов исполнительной власти </t>
    </r>
    <r>
      <rPr>
        <sz val="10"/>
        <rFont val="Times New Roman"/>
      </rPr>
      <t xml:space="preserve">субъектов Российской Федерации, учреждениями субъектов Российской Федерации»</t>
    </r>
  </si>
  <si>
    <t xml:space="preserve">Невыполнение в установленный срок законного предписания (представления) органа государственного (муниципального) финансового контроля</t>
  </si>
  <si>
    <t xml:space="preserve">ч. 20 ст. 19.5</t>
  </si>
  <si>
    <r>
      <rPr>
        <b/>
        <sz val="10"/>
        <rFont val="Times New Roman"/>
      </rPr>
      <t>19711601193010000140</t>
    </r>
    <r>
      <rPr>
        <sz val="10"/>
        <rFont val="Times New Roman"/>
      </rPr>
      <t xml:space="preserve">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</t>
    </r>
    <r>
      <rPr>
        <b/>
        <sz val="10"/>
        <rFont val="Times New Roman"/>
      </rPr>
      <t xml:space="preserve">налагаемые мировыми судьями,</t>
    </r>
    <r>
      <rPr>
        <sz val="10"/>
        <rFont val="Times New Roman"/>
      </rPr>
      <t xml:space="preserve"> комиссиями по делам несовершеннолетних и защите их прав</t>
    </r>
  </si>
  <si>
    <r>
      <rPr>
        <b/>
        <sz val="10"/>
        <rFont val="Times New Roman"/>
      </rPr>
      <t>19711601203010000140</t>
    </r>
    <r>
      <rPr>
        <sz val="10"/>
        <rFont val="Times New Roman"/>
      </rPr>
      <t xml:space="preserve">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</t>
    </r>
    <r>
      <rPr>
        <b/>
        <sz val="10"/>
        <rFont val="Times New Roman"/>
      </rPr>
      <t xml:space="preserve">налагаемые мировыми судьями,</t>
    </r>
    <r>
      <rPr>
        <sz val="10"/>
        <rFont val="Times New Roman"/>
      </rPr>
      <t xml:space="preserve"> комиссиями по делам несовершеннолетних и защите их прав</t>
    </r>
  </si>
  <si>
    <t xml:space="preserve">Неуплата административного штрафа в срок, предусмотренный настоящим Кодексом</t>
  </si>
  <si>
    <t xml:space="preserve">ч. 1 ст. 20.25</t>
  </si>
  <si>
    <t xml:space="preserve">Количество полных месяцев текущего года:</t>
  </si>
  <si>
    <t xml:space="preserve">Размер платежа рассчитывается путем усреднения статистических данных о суммах поступлений к количеству рассмотренных дел по каждому виду правонарушения не менее чем за 3 года или за весь период закрепления в законодательстве Российской Федерации соответствующего вида правонарушения в случае, если этот период не превышает 3 года.
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</si>
</sst>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0.0%"/>
  </numFmts>
  <fonts count="9">
    <font>
      <sz val="10.000000"/>
      <color theme="1"/>
      <name val="Arial Cyr"/>
    </font>
    <font>
      <sz val="10.000000"/>
      <name val="Times New Roman"/>
    </font>
    <font>
      <sz val="14.000000"/>
      <color theme="1"/>
      <name val="Times New Roman"/>
    </font>
    <font>
      <b/>
      <sz val="10.000000"/>
      <name val="Times New Roman"/>
    </font>
    <font>
      <sz val="10.000000"/>
      <color theme="1"/>
      <name val="Times New Roman"/>
    </font>
    <font>
      <i/>
      <sz val="10.000000"/>
      <name val="Times New Roman"/>
    </font>
    <font>
      <sz val="9.000000"/>
      <name val="Times New Roman"/>
    </font>
    <font>
      <sz val="10.000000"/>
      <color indexed="2"/>
      <name val="Arial Cyr"/>
    </font>
    <font>
      <sz val="10.000000"/>
      <color indexed="2"/>
      <name val="Times New Roman"/>
    </font>
  </fonts>
  <fills count="2">
    <fill>
      <patternFill patternType="none"/>
    </fill>
    <fill>
      <patternFill patternType="gray125"/>
    </fill>
  </fills>
  <borders count="1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</borders>
  <cellStyleXfs count="1">
    <xf fontId="0" fillId="0" borderId="0" numFmtId="0" applyNumberFormat="1" applyFont="1" applyFill="1" applyBorder="1"/>
  </cellStyleXfs>
  <cellXfs count="74">
    <xf fontId="0" fillId="0" borderId="0" numFmtId="0" xfId="0"/>
    <xf fontId="1" fillId="0" borderId="0" numFmtId="0" xfId="0" applyFont="1"/>
    <xf fontId="1" fillId="0" borderId="0" numFmtId="49" xfId="0" applyNumberFormat="1" applyFont="1" applyAlignment="1">
      <alignment horizontal="center"/>
    </xf>
    <xf fontId="1" fillId="0" borderId="0" numFmtId="0" xfId="0" applyFont="1" applyAlignment="1">
      <alignment horizontal="right"/>
    </xf>
    <xf fontId="2" fillId="0" borderId="0" numFmtId="0" xfId="0" applyFont="1" applyAlignment="1">
      <alignment horizontal="right"/>
    </xf>
    <xf fontId="3" fillId="0" borderId="0" numFmtId="0" xfId="0" applyFont="1" applyAlignment="1">
      <alignment horizontal="center" wrapText="1"/>
    </xf>
    <xf fontId="1" fillId="0" borderId="0" numFmtId="49" xfId="0" applyNumberFormat="1" applyFont="1" applyAlignment="1">
      <alignment horizontal="center" wrapText="1"/>
    </xf>
    <xf fontId="3" fillId="0" borderId="1" numFmtId="0" xfId="0" applyFont="1" applyBorder="1" applyAlignment="1">
      <alignment horizontal="center" wrapText="1"/>
    </xf>
    <xf fontId="3" fillId="0" borderId="0" numFmtId="0" xfId="0" applyFont="1" applyAlignment="1">
      <alignment wrapText="1"/>
    </xf>
    <xf fontId="3" fillId="0" borderId="1" numFmtId="0" xfId="0" applyFont="1" applyBorder="1" applyAlignment="1">
      <alignment horizontal="center"/>
    </xf>
    <xf fontId="1" fillId="0" borderId="2" numFmtId="0" xfId="0" applyFont="1" applyBorder="1" applyAlignment="1">
      <alignment horizontal="center" wrapText="1"/>
    </xf>
    <xf fontId="1" fillId="0" borderId="0" numFmtId="0" xfId="0" applyFont="1" applyAlignment="1">
      <alignment wrapText="1"/>
    </xf>
    <xf fontId="1" fillId="0" borderId="2" numFmtId="0" xfId="0" applyFont="1" applyBorder="1" applyAlignment="1">
      <alignment horizontal="center"/>
    </xf>
    <xf fontId="1" fillId="0" borderId="0" numFmtId="0" xfId="0" applyFont="1" applyAlignment="1">
      <alignment horizontal="center" wrapText="1"/>
    </xf>
    <xf fontId="1" fillId="0" borderId="0" numFmtId="0" xfId="0" applyFont="1" applyAlignment="1">
      <alignment horizontal="center"/>
    </xf>
    <xf fontId="1" fillId="0" borderId="3" numFmtId="0" xfId="0" applyFont="1" applyBorder="1" applyAlignment="1">
      <alignment horizontal="center" vertical="center" wrapText="1"/>
    </xf>
    <xf fontId="1" fillId="0" borderId="3" numFmtId="49" xfId="0" applyNumberFormat="1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/>
    </xf>
    <xf fontId="1" fillId="0" borderId="5" numFmtId="0" xfId="0" applyFont="1" applyBorder="1" applyAlignment="1">
      <alignment horizontal="center" vertical="center"/>
    </xf>
    <xf fontId="1" fillId="0" borderId="6" numFmtId="0" xfId="0" applyFont="1" applyBorder="1" applyAlignment="1">
      <alignment horizontal="center" vertical="center"/>
    </xf>
    <xf fontId="1" fillId="0" borderId="7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/>
    </xf>
    <xf fontId="1" fillId="0" borderId="8" numFmtId="0" xfId="0" applyFont="1" applyBorder="1" applyAlignment="1">
      <alignment horizontal="center" vertical="center" wrapText="1"/>
    </xf>
    <xf fontId="4" fillId="0" borderId="3" numFmtId="0" xfId="0" applyFont="1" applyBorder="1" applyAlignment="1">
      <alignment horizontal="center" vertical="center" wrapText="1"/>
    </xf>
    <xf fontId="4" fillId="0" borderId="7" numFmtId="0" xfId="0" applyFont="1" applyBorder="1" applyAlignment="1">
      <alignment horizontal="center" vertical="center" wrapText="1"/>
    </xf>
    <xf fontId="1" fillId="0" borderId="9" numFmtId="0" xfId="0" applyFont="1" applyBorder="1" applyAlignment="1">
      <alignment horizontal="left" vertical="center" wrapText="1"/>
    </xf>
    <xf fontId="3" fillId="0" borderId="6" numFmtId="160" xfId="0" applyNumberFormat="1" applyFont="1" applyBorder="1" applyAlignment="1">
      <alignment vertical="center"/>
    </xf>
    <xf fontId="3" fillId="0" borderId="10" numFmtId="0" xfId="0" applyFont="1" applyBorder="1" applyAlignment="1">
      <alignment vertical="center"/>
    </xf>
    <xf fontId="3" fillId="0" borderId="10" numFmtId="4" xfId="0" applyNumberFormat="1" applyFont="1" applyBorder="1" applyAlignment="1">
      <alignment shrinkToFit="1" vertical="center"/>
    </xf>
    <xf fontId="3" fillId="0" borderId="10" numFmtId="2" xfId="0" applyNumberFormat="1" applyFont="1" applyBorder="1" applyAlignment="1">
      <alignment vertical="center"/>
    </xf>
    <xf fontId="3" fillId="0" borderId="10" numFmtId="4" xfId="0" applyNumberFormat="1" applyFont="1" applyBorder="1" applyAlignment="1">
      <alignment vertical="center"/>
    </xf>
    <xf fontId="3" fillId="0" borderId="10" numFmtId="160" xfId="0" applyNumberFormat="1" applyFont="1" applyBorder="1" applyAlignment="1">
      <alignment horizontal="right" vertical="center"/>
    </xf>
    <xf fontId="3" fillId="0" borderId="10" numFmtId="4" xfId="0" applyNumberFormat="1" applyFont="1" applyBorder="1" applyAlignment="1">
      <alignment horizontal="right" vertical="center"/>
    </xf>
    <xf fontId="3" fillId="0" borderId="10" numFmtId="4" xfId="0" applyNumberFormat="1" applyFont="1" applyBorder="1" applyAlignment="1">
      <alignment horizontal="right" shrinkToFit="1" vertical="center"/>
    </xf>
    <xf fontId="5" fillId="0" borderId="3" numFmtId="0" xfId="0" applyFont="1" applyBorder="1" applyAlignment="1">
      <alignment vertical="center" wrapText="1"/>
    </xf>
    <xf fontId="5" fillId="0" borderId="6" numFmtId="0" xfId="0" applyFont="1" applyBorder="1" applyAlignment="1">
      <alignment horizontal="center" vertical="center" wrapText="1"/>
    </xf>
    <xf fontId="6" fillId="0" borderId="10" numFmtId="0" xfId="0" applyFont="1" applyBorder="1" applyAlignment="1">
      <alignment vertical="center"/>
    </xf>
    <xf fontId="6" fillId="0" borderId="10" numFmtId="4" xfId="0" applyNumberFormat="1" applyFont="1" applyBorder="1" applyAlignment="1">
      <alignment shrinkToFit="1" vertical="center"/>
    </xf>
    <xf fontId="1" fillId="0" borderId="10" numFmtId="2" xfId="0" applyNumberFormat="1" applyFont="1" applyBorder="1" applyAlignment="1">
      <alignment vertical="center"/>
    </xf>
    <xf fontId="1" fillId="0" borderId="10" numFmtId="4" xfId="0" applyNumberFormat="1" applyFont="1" applyBorder="1" applyAlignment="1">
      <alignment vertical="center"/>
    </xf>
    <xf fontId="1" fillId="0" borderId="10" numFmtId="160" xfId="0" applyNumberFormat="1" applyFont="1" applyBorder="1" applyAlignment="1">
      <alignment horizontal="right" vertical="center"/>
    </xf>
    <xf fontId="6" fillId="0" borderId="10" numFmtId="2" xfId="0" applyNumberFormat="1" applyFont="1" applyBorder="1" applyAlignment="1">
      <alignment vertical="center"/>
    </xf>
    <xf fontId="6" fillId="0" borderId="10" numFmtId="4" xfId="0" applyNumberFormat="1" applyFont="1" applyBorder="1" applyAlignment="1">
      <alignment vertical="center"/>
    </xf>
    <xf fontId="1" fillId="0" borderId="10" numFmtId="4" xfId="0" applyNumberFormat="1" applyFont="1" applyBorder="1" applyAlignment="1">
      <alignment shrinkToFit="1" vertical="center"/>
    </xf>
    <xf fontId="1" fillId="0" borderId="10" numFmtId="4" xfId="0" applyNumberFormat="1" applyFont="1" applyBorder="1" applyAlignment="1">
      <alignment horizontal="right" vertical="center"/>
    </xf>
    <xf fontId="5" fillId="0" borderId="6" numFmtId="17" xfId="0" applyNumberFormat="1" applyFont="1" applyBorder="1" applyAlignment="1">
      <alignment horizontal="center" vertical="center" wrapText="1"/>
    </xf>
    <xf fontId="5" fillId="0" borderId="6" numFmtId="0" xfId="0" applyFont="1" applyBorder="1" applyAlignment="1">
      <alignment vertical="center" wrapText="1"/>
    </xf>
    <xf fontId="5" fillId="0" borderId="11" numFmtId="0" xfId="0" applyFont="1" applyBorder="1" applyAlignment="1">
      <alignment horizontal="center" vertical="center" wrapText="1"/>
    </xf>
    <xf fontId="6" fillId="0" borderId="10" numFmtId="0" xfId="0" applyFont="1" applyBorder="1" applyAlignment="1">
      <alignment vertical="center" wrapText="1"/>
    </xf>
    <xf fontId="5" fillId="0" borderId="12" numFmtId="0" xfId="0" applyFont="1" applyBorder="1" applyAlignment="1">
      <alignment horizontal="center" vertical="center" wrapText="1"/>
    </xf>
    <xf fontId="5" fillId="0" borderId="13" numFmtId="0" xfId="0" applyFont="1" applyBorder="1" applyAlignment="1">
      <alignment vertical="center" wrapText="1"/>
    </xf>
    <xf fontId="5" fillId="0" borderId="14" numFmtId="17" xfId="0" applyNumberFormat="1" applyFont="1" applyBorder="1" applyAlignment="1">
      <alignment horizontal="center" vertical="center" wrapText="1"/>
    </xf>
    <xf fontId="5" fillId="0" borderId="10" numFmtId="0" xfId="0" applyFont="1" applyBorder="1" applyAlignment="1">
      <alignment horizontal="center" vertical="center" wrapText="1"/>
    </xf>
    <xf fontId="1" fillId="0" borderId="9" numFmtId="0" xfId="0" applyFont="1" applyBorder="1" applyAlignment="1">
      <alignment vertical="center" wrapText="1"/>
    </xf>
    <xf fontId="3" fillId="0" borderId="12" numFmtId="160" xfId="0" applyNumberFormat="1" applyFont="1" applyBorder="1" applyAlignment="1">
      <alignment vertical="center"/>
    </xf>
    <xf fontId="3" fillId="0" borderId="0" numFmtId="2" xfId="0" applyNumberFormat="1" applyFont="1" applyAlignment="1">
      <alignment vertical="center"/>
    </xf>
    <xf fontId="5" fillId="0" borderId="9" numFmtId="9" xfId="0" applyNumberFormat="1" applyFont="1" applyBorder="1" applyAlignment="1">
      <alignment horizontal="center" vertical="center" wrapText="1"/>
    </xf>
    <xf fontId="5" fillId="0" borderId="13" numFmtId="9" xfId="0" applyNumberFormat="1" applyFont="1" applyBorder="1" applyAlignment="1">
      <alignment horizontal="center" vertical="center" wrapText="1"/>
    </xf>
    <xf fontId="6" fillId="0" borderId="0" numFmtId="0" xfId="0" applyFont="1" applyAlignment="1">
      <alignment vertical="center"/>
    </xf>
    <xf fontId="6" fillId="0" borderId="0" numFmtId="4" xfId="0" applyNumberFormat="1" applyFont="1" applyAlignment="1">
      <alignment shrinkToFit="1" vertical="center"/>
    </xf>
    <xf fontId="6" fillId="0" borderId="0" numFmtId="4" xfId="0" applyNumberFormat="1" applyFont="1" applyAlignment="1">
      <alignment vertical="center"/>
    </xf>
    <xf fontId="6" fillId="0" borderId="0" numFmtId="2" xfId="0" applyNumberFormat="1" applyFont="1" applyAlignment="1">
      <alignment vertical="center"/>
    </xf>
    <xf fontId="1" fillId="0" borderId="0" numFmtId="4" xfId="0" applyNumberFormat="1" applyFont="1" applyAlignment="1">
      <alignment vertical="center"/>
    </xf>
    <xf fontId="1" fillId="0" borderId="9" numFmtId="0" xfId="0" applyFont="1" applyBorder="1" applyAlignment="1">
      <alignment wrapText="1"/>
    </xf>
    <xf fontId="5" fillId="0" borderId="9" numFmtId="16" xfId="0" applyNumberFormat="1" applyFont="1" applyBorder="1" applyAlignment="1">
      <alignment horizontal="center" vertical="center" wrapText="1"/>
    </xf>
    <xf fontId="3" fillId="0" borderId="9" numFmtId="9" xfId="0" applyNumberFormat="1" applyFont="1" applyBorder="1" applyAlignment="1">
      <alignment horizontal="right" vertical="center" wrapText="1"/>
    </xf>
    <xf fontId="1" fillId="0" borderId="9" numFmtId="16" xfId="0" applyNumberFormat="1" applyFont="1" applyBorder="1" applyAlignment="1">
      <alignment horizontal="center" vertical="center" wrapText="1"/>
    </xf>
    <xf fontId="5" fillId="0" borderId="6" numFmtId="9" xfId="0" applyNumberFormat="1" applyFont="1" applyBorder="1" applyAlignment="1">
      <alignment horizontal="center" vertical="center" wrapText="1"/>
    </xf>
    <xf fontId="7" fillId="0" borderId="0" numFmtId="0" xfId="0" applyFont="1"/>
    <xf fontId="8" fillId="0" borderId="0" numFmtId="0" xfId="0" applyFont="1" applyAlignment="1">
      <alignment horizontal="left" wrapText="1"/>
    </xf>
    <xf fontId="1" fillId="0" borderId="0" numFmtId="14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zoomScale="85" workbookViewId="0">
      <selection activeCell="A29" activeCellId="0" sqref="A29"/>
    </sheetView>
  </sheetViews>
  <sheetFormatPr defaultRowHeight="12.75" customHeight="1"/>
  <cols>
    <col customWidth="1" min="1" max="1" style="1" width="61.44140625"/>
    <col bestFit="1" customWidth="1" min="2" max="2" style="1" width="23.6640625"/>
    <col customWidth="1" min="3" max="5" style="1" width="5.44140625"/>
    <col customWidth="1" min="6" max="6" style="1" width="9.88671875"/>
    <col customWidth="1" min="7" max="7" style="1" width="9.109375"/>
    <col customWidth="1" min="8" max="8" style="1" width="10"/>
    <col bestFit="1" customWidth="1" min="9" max="9" style="1" width="10"/>
    <col bestFit="1" customWidth="1" min="10" max="10" style="1" width="11.33203125"/>
    <col customWidth="1" min="11" max="11" style="1" width="9.6640625"/>
    <col customWidth="1" min="12" max="12" style="1" width="9.109375"/>
    <col customWidth="1" min="13" max="14" style="1" width="9.33203125"/>
    <col customWidth="1" min="15" max="15" style="1" width="8"/>
    <col bestFit="1" customWidth="1" min="16" max="16" style="1" width="8.109375"/>
    <col customWidth="1" min="17" max="18" style="1" width="7.88671875"/>
    <col customWidth="1" min="19" max="19" style="1" width="9.88671875"/>
    <col customWidth="1" min="20" max="20" style="1" width="12"/>
    <col customWidth="1" min="21" max="21" style="1" width="10.88671875"/>
    <col customWidth="1" min="22" max="23" style="1" width="8.6640625"/>
    <col customWidth="1" min="24" max="24" style="1" width="12.6640625"/>
    <col customWidth="1" min="25" max="25" style="1" width="11"/>
    <col customWidth="1" min="26" max="26" style="1" width="12"/>
    <col customWidth="1" min="27" max="27" style="1" width="11"/>
    <col customWidth="1" min="28" max="28" style="1" width="10.5546875"/>
    <col customWidth="1" min="29" max="29" style="1" width="10.33203125"/>
    <col customWidth="1" min="30" max="30" style="1" width="11.5546875"/>
    <col customWidth="1" min="31" max="31" style="1" width="10.5546875"/>
    <col customWidth="1" min="32" max="247" style="1" width="9.109375"/>
  </cols>
  <sheetData>
    <row r="1" ht="17.25">
      <c r="B1" s="2"/>
      <c r="F1" s="3"/>
      <c r="G1" s="3"/>
      <c r="Q1" s="3"/>
      <c r="R1" s="3"/>
      <c r="AC1" s="4" t="s">
        <v>0</v>
      </c>
      <c r="AD1" s="4"/>
      <c r="AE1" s="4"/>
    </row>
    <row r="2" ht="12.75" customHeight="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ht="13.199999999999999">
      <c r="A3" s="5"/>
      <c r="B3" s="6"/>
      <c r="C3" s="5"/>
      <c r="D3" s="5"/>
      <c r="E3" s="5"/>
      <c r="F3" s="5"/>
      <c r="G3" s="5"/>
    </row>
    <row r="4" ht="13.199999999999999">
      <c r="A4" s="5"/>
      <c r="B4" s="6"/>
      <c r="C4" s="5"/>
      <c r="D4" s="5"/>
      <c r="E4" s="5"/>
      <c r="F4" s="5"/>
      <c r="G4" s="5"/>
    </row>
    <row r="5" ht="12.75" customHeight="1">
      <c r="A5" s="7" t="s">
        <v>2</v>
      </c>
      <c r="B5" s="7"/>
      <c r="C5" s="7"/>
      <c r="D5" s="7"/>
      <c r="E5" s="7"/>
      <c r="F5" s="5"/>
      <c r="G5" s="8"/>
      <c r="J5" s="9">
        <v>197</v>
      </c>
      <c r="K5" s="9"/>
      <c r="L5" s="9"/>
      <c r="M5" s="9"/>
      <c r="N5" s="7"/>
      <c r="O5" s="7"/>
      <c r="P5" s="7"/>
      <c r="Q5" s="7"/>
      <c r="R5" s="7"/>
      <c r="S5" s="7"/>
      <c r="T5" s="7"/>
      <c r="U5" s="7"/>
      <c r="V5" s="7"/>
      <c r="W5" s="7"/>
      <c r="AA5" s="9">
        <v>197</v>
      </c>
      <c r="AB5" s="9"/>
      <c r="AC5" s="9"/>
      <c r="AD5" s="9"/>
      <c r="AE5" s="9"/>
    </row>
    <row r="6" ht="12.75" customHeight="1">
      <c r="A6" s="10" t="s">
        <v>3</v>
      </c>
      <c r="B6" s="10"/>
      <c r="C6" s="10"/>
      <c r="D6" s="10"/>
      <c r="E6" s="10"/>
      <c r="F6" s="5"/>
      <c r="G6" s="11"/>
      <c r="J6" s="12" t="s">
        <v>4</v>
      </c>
      <c r="K6" s="12"/>
      <c r="L6" s="12"/>
      <c r="M6" s="12"/>
      <c r="N6" s="13"/>
      <c r="O6" s="13"/>
      <c r="P6" s="13"/>
      <c r="Q6" s="13"/>
      <c r="R6" s="13"/>
      <c r="S6" s="13"/>
      <c r="T6" s="13"/>
      <c r="U6" s="13"/>
      <c r="V6" s="13"/>
      <c r="W6" s="13"/>
      <c r="AA6" s="14" t="s">
        <v>4</v>
      </c>
      <c r="AB6" s="14"/>
      <c r="AC6" s="14"/>
      <c r="AD6" s="14"/>
      <c r="AE6" s="14"/>
    </row>
    <row r="7" ht="13.199999999999999">
      <c r="A7" s="13"/>
      <c r="B7" s="6"/>
      <c r="C7" s="13"/>
      <c r="D7" s="13"/>
      <c r="E7" s="13"/>
      <c r="F7" s="13"/>
      <c r="G7" s="13"/>
      <c r="K7" s="14"/>
      <c r="N7" s="13"/>
      <c r="O7" s="13"/>
      <c r="P7" s="13"/>
      <c r="Q7" s="13"/>
      <c r="R7" s="13"/>
      <c r="W7" s="14"/>
    </row>
    <row r="8" ht="26.25" customHeight="1">
      <c r="A8" s="15" t="s">
        <v>5</v>
      </c>
      <c r="B8" s="16" t="s">
        <v>6</v>
      </c>
      <c r="C8" s="17" t="s">
        <v>7</v>
      </c>
      <c r="D8" s="17"/>
      <c r="E8" s="18"/>
      <c r="F8" s="19" t="s">
        <v>8</v>
      </c>
      <c r="G8" s="19"/>
      <c r="H8" s="20"/>
      <c r="I8" s="21" t="s">
        <v>9</v>
      </c>
      <c r="J8" s="20"/>
      <c r="K8" s="15" t="s">
        <v>10</v>
      </c>
      <c r="L8" s="15"/>
      <c r="M8" s="15"/>
      <c r="N8" s="19" t="s">
        <v>11</v>
      </c>
      <c r="O8" s="19"/>
      <c r="P8" s="20"/>
      <c r="Q8" s="19" t="s">
        <v>12</v>
      </c>
      <c r="R8" s="19"/>
      <c r="S8" s="20"/>
      <c r="T8" s="22" t="s">
        <v>13</v>
      </c>
      <c r="U8" s="21" t="s">
        <v>14</v>
      </c>
      <c r="V8" s="19"/>
      <c r="W8" s="20"/>
      <c r="X8" s="21" t="s">
        <v>15</v>
      </c>
      <c r="Y8" s="19"/>
      <c r="Z8" s="20"/>
      <c r="AA8" s="23" t="s">
        <v>16</v>
      </c>
      <c r="AB8" s="17"/>
      <c r="AC8" s="18"/>
      <c r="AD8" s="22" t="s">
        <v>17</v>
      </c>
      <c r="AE8" s="22" t="s">
        <v>18</v>
      </c>
    </row>
    <row r="9" ht="36">
      <c r="A9" s="15"/>
      <c r="B9" s="16"/>
      <c r="C9" s="15" t="s">
        <v>19</v>
      </c>
      <c r="D9" s="15" t="s">
        <v>20</v>
      </c>
      <c r="E9" s="15" t="s">
        <v>21</v>
      </c>
      <c r="F9" s="15" t="s">
        <v>19</v>
      </c>
      <c r="G9" s="15" t="s">
        <v>20</v>
      </c>
      <c r="H9" s="15" t="s">
        <v>21</v>
      </c>
      <c r="I9" s="24" t="s">
        <v>22</v>
      </c>
      <c r="J9" s="24" t="s">
        <v>23</v>
      </c>
      <c r="K9" s="22" t="s">
        <v>24</v>
      </c>
      <c r="L9" s="22" t="s">
        <v>25</v>
      </c>
      <c r="M9" s="22" t="s">
        <v>26</v>
      </c>
      <c r="N9" s="15" t="s">
        <v>19</v>
      </c>
      <c r="O9" s="15" t="s">
        <v>20</v>
      </c>
      <c r="P9" s="15" t="s">
        <v>21</v>
      </c>
      <c r="Q9" s="15" t="s">
        <v>19</v>
      </c>
      <c r="R9" s="15" t="s">
        <v>20</v>
      </c>
      <c r="S9" s="15" t="s">
        <v>21</v>
      </c>
      <c r="T9" s="25"/>
      <c r="U9" s="22" t="s">
        <v>27</v>
      </c>
      <c r="V9" s="22" t="s">
        <v>28</v>
      </c>
      <c r="W9" s="22" t="s">
        <v>29</v>
      </c>
      <c r="X9" s="22" t="s">
        <v>27</v>
      </c>
      <c r="Y9" s="22" t="s">
        <v>28</v>
      </c>
      <c r="Z9" s="22" t="s">
        <v>29</v>
      </c>
      <c r="AA9" s="22" t="s">
        <v>27</v>
      </c>
      <c r="AB9" s="22" t="s">
        <v>28</v>
      </c>
      <c r="AC9" s="22" t="s">
        <v>29</v>
      </c>
      <c r="AD9" s="25"/>
      <c r="AE9" s="25"/>
    </row>
    <row r="10" ht="13.199999999999999">
      <c r="A10" s="26">
        <v>1</v>
      </c>
      <c r="B10" s="26">
        <v>2</v>
      </c>
      <c r="C10" s="27">
        <v>4</v>
      </c>
      <c r="D10" s="27">
        <v>5</v>
      </c>
      <c r="E10" s="27">
        <v>6</v>
      </c>
      <c r="F10" s="27">
        <v>8</v>
      </c>
      <c r="G10" s="27">
        <v>9</v>
      </c>
      <c r="H10" s="27">
        <v>10</v>
      </c>
      <c r="I10" s="27">
        <v>11</v>
      </c>
      <c r="J10" s="27">
        <v>12</v>
      </c>
      <c r="K10" s="27">
        <v>13</v>
      </c>
      <c r="L10" s="27">
        <v>14</v>
      </c>
      <c r="M10" s="27">
        <v>15</v>
      </c>
      <c r="N10" s="27">
        <v>17</v>
      </c>
      <c r="O10" s="27">
        <v>18</v>
      </c>
      <c r="P10" s="27">
        <v>19</v>
      </c>
      <c r="Q10" s="27">
        <v>21</v>
      </c>
      <c r="R10" s="27">
        <v>22</v>
      </c>
      <c r="S10" s="27">
        <v>23</v>
      </c>
      <c r="T10" s="27">
        <v>24</v>
      </c>
      <c r="U10" s="27">
        <v>25</v>
      </c>
      <c r="V10" s="27">
        <v>26</v>
      </c>
      <c r="W10" s="27">
        <v>27</v>
      </c>
      <c r="X10" s="27">
        <v>28</v>
      </c>
      <c r="Y10" s="27">
        <v>29</v>
      </c>
      <c r="Z10" s="27">
        <v>30</v>
      </c>
      <c r="AA10" s="27">
        <v>31</v>
      </c>
      <c r="AB10" s="27">
        <v>32</v>
      </c>
      <c r="AC10" s="27">
        <v>33</v>
      </c>
      <c r="AD10" s="27">
        <v>34</v>
      </c>
      <c r="AE10" s="27">
        <v>35</v>
      </c>
    </row>
    <row r="11" ht="72">
      <c r="A11" s="28" t="s">
        <v>30</v>
      </c>
      <c r="B11" s="29">
        <v>1</v>
      </c>
      <c r="C11" s="30">
        <f>SUM(C12:C22)</f>
        <v>17</v>
      </c>
      <c r="D11" s="30">
        <f>SUM(D12:D22)</f>
        <v>25</v>
      </c>
      <c r="E11" s="30">
        <f>SUM(E12:E22)</f>
        <v>9</v>
      </c>
      <c r="F11" s="31">
        <f>SUM(F12:F22)*$B11</f>
        <v>157460.91</v>
      </c>
      <c r="G11" s="31">
        <f>SUM(G12:G22)*$B11</f>
        <v>300000</v>
      </c>
      <c r="H11" s="31">
        <f>SUM(H12:H22)*$B11</f>
        <v>67500</v>
      </c>
      <c r="I11" s="32">
        <f t="shared" ref="I11:I34" si="0">(C11+D11+E11*$B$36/12)/(1+1+$B$36/12)</f>
        <v>18.931034482758623</v>
      </c>
      <c r="J11" s="33">
        <f t="shared" ref="J11:J34" si="1">IF(C11+D11+E11=0,0,(F11+G11+H11)/(C11+D11+E11))</f>
        <v>10293.351176470589</v>
      </c>
      <c r="K11" s="31">
        <f>ROUND(SUM(K12:K22),-3)*$B11</f>
        <v>200000</v>
      </c>
      <c r="L11" s="31">
        <f>ROUND(SUM(L12:L22),-3)*$B11</f>
        <v>200000</v>
      </c>
      <c r="M11" s="31">
        <f>ROUND(SUM(M12:M22),-3)*$B11</f>
        <v>200000</v>
      </c>
      <c r="N11" s="33">
        <f>SUM(N12:N22)</f>
        <v>0</v>
      </c>
      <c r="O11" s="33">
        <f>SUM(O12:O22)</f>
        <v>0</v>
      </c>
      <c r="P11" s="33">
        <f>SUM(P12:P22)</f>
        <v>0</v>
      </c>
      <c r="Q11" s="31">
        <f>SUM(Q12:Q22)</f>
        <v>0</v>
      </c>
      <c r="R11" s="31">
        <f>SUM(R12:R22)*$B11</f>
        <v>0</v>
      </c>
      <c r="S11" s="31">
        <f>SUM(S12:S22)*$B11</f>
        <v>0</v>
      </c>
      <c r="T11" s="34">
        <f>IF(F11+G11=0,"-",1-(Q11+R11)/(F11+G11))</f>
        <v>1</v>
      </c>
      <c r="U11" s="32">
        <v>3</v>
      </c>
      <c r="V11" s="35">
        <v>11650</v>
      </c>
      <c r="W11" s="31">
        <f>ROUND(SUM(W12:W22),-3)*$B11</f>
        <v>248000</v>
      </c>
      <c r="X11" s="32">
        <f t="shared" ref="X11:X34" si="2">U11/12*$B$36</f>
        <v>1.25</v>
      </c>
      <c r="Y11" s="36">
        <f t="shared" ref="Y11:Y34" si="3">V11</f>
        <v>11650</v>
      </c>
      <c r="Z11" s="36">
        <f>ROUND(W11/12*$B$36,-3)</f>
        <v>103000</v>
      </c>
      <c r="AA11" s="30">
        <f t="shared" ref="AA11:AA34" si="4">E11</f>
        <v>9</v>
      </c>
      <c r="AB11" s="35">
        <f t="shared" ref="AB11:AB34" si="5">IF(AA11=0,0,AC11/AA11)</f>
        <v>7500</v>
      </c>
      <c r="AC11" s="33">
        <f t="shared" ref="AC11:AC34" si="6">H11</f>
        <v>67500</v>
      </c>
      <c r="AD11" s="36">
        <f>ROUND(IF(T11="-",S11,S11*T11)-(Z11-AC11),-3)</f>
        <v>-36000</v>
      </c>
      <c r="AE11" s="36">
        <f>ROUND(SUM(AE12:AE22),-3)*$B11</f>
        <v>212000</v>
      </c>
    </row>
    <row r="12" ht="132">
      <c r="A12" s="37" t="s">
        <v>31</v>
      </c>
      <c r="B12" s="38" t="s">
        <v>32</v>
      </c>
      <c r="C12" s="39">
        <v>1</v>
      </c>
      <c r="D12" s="39">
        <v>3</v>
      </c>
      <c r="E12" s="39">
        <v>0</v>
      </c>
      <c r="F12" s="40">
        <v>15000</v>
      </c>
      <c r="G12" s="40">
        <v>45000</v>
      </c>
      <c r="H12" s="40">
        <v>0</v>
      </c>
      <c r="I12" s="41">
        <f t="shared" si="0"/>
        <v>1.6551724137931036</v>
      </c>
      <c r="J12" s="42">
        <f t="shared" si="1"/>
        <v>15000</v>
      </c>
      <c r="K12" s="40">
        <f t="shared" ref="K12:K22" si="7">I12*J12</f>
        <v>24827.586206896554</v>
      </c>
      <c r="L12" s="40">
        <f t="shared" ref="L12:L22" si="8">K12</f>
        <v>24827.586206896554</v>
      </c>
      <c r="M12" s="40">
        <f t="shared" ref="M12:M22" si="9">L12</f>
        <v>24827.586206896554</v>
      </c>
      <c r="N12" s="40">
        <v>0</v>
      </c>
      <c r="O12" s="40">
        <v>0</v>
      </c>
      <c r="P12" s="40">
        <v>0</v>
      </c>
      <c r="Q12" s="40">
        <v>0</v>
      </c>
      <c r="R12" s="40">
        <v>0</v>
      </c>
      <c r="S12" s="40">
        <v>0</v>
      </c>
      <c r="T12" s="43">
        <f t="shared" ref="T12:T34" si="10">IF(F12+G12=0,"-",1-(Q12+R12)/(F12+G12))</f>
        <v>1</v>
      </c>
      <c r="U12" s="44">
        <v>2</v>
      </c>
      <c r="V12" s="45">
        <v>15000</v>
      </c>
      <c r="W12" s="40">
        <f t="shared" ref="W12:W22" si="11">U12*V12</f>
        <v>30000</v>
      </c>
      <c r="X12" s="41">
        <f t="shared" si="2"/>
        <v>0.83333333333333326</v>
      </c>
      <c r="Y12" s="46">
        <f t="shared" si="3"/>
        <v>15000</v>
      </c>
      <c r="Z12" s="40">
        <f t="shared" ref="Z12:Z22" si="12">X12*Y12</f>
        <v>12499.999999999998</v>
      </c>
      <c r="AA12" s="39">
        <f t="shared" si="4"/>
        <v>0</v>
      </c>
      <c r="AB12" s="47">
        <f t="shared" si="5"/>
        <v>0</v>
      </c>
      <c r="AC12" s="40">
        <f t="shared" si="6"/>
        <v>0</v>
      </c>
      <c r="AD12" s="46">
        <f t="shared" ref="AD12:AD22" si="13">(IF(T12="-",S12*T$29,S12*T12)-(Z12-AC12))</f>
        <v>-12499.999999999998</v>
      </c>
      <c r="AE12" s="46">
        <f t="shared" ref="AE12:AE22" si="14">W12+AD12</f>
        <v>17500</v>
      </c>
    </row>
    <row r="13" ht="24">
      <c r="A13" s="37" t="s">
        <v>33</v>
      </c>
      <c r="B13" s="48" t="s">
        <v>34</v>
      </c>
      <c r="C13" s="39">
        <v>0</v>
      </c>
      <c r="D13" s="39">
        <v>0</v>
      </c>
      <c r="E13" s="39">
        <v>1</v>
      </c>
      <c r="F13" s="40">
        <v>0</v>
      </c>
      <c r="G13" s="40">
        <v>0</v>
      </c>
      <c r="H13" s="40">
        <v>15000</v>
      </c>
      <c r="I13" s="41">
        <f t="shared" si="0"/>
        <v>0.17241379310344829</v>
      </c>
      <c r="J13" s="42">
        <f t="shared" si="1"/>
        <v>15000</v>
      </c>
      <c r="K13" s="40">
        <f t="shared" si="7"/>
        <v>2586.2068965517242</v>
      </c>
      <c r="L13" s="40">
        <f t="shared" si="8"/>
        <v>2586.2068965517242</v>
      </c>
      <c r="M13" s="40">
        <f t="shared" si="9"/>
        <v>2586.2068965517242</v>
      </c>
      <c r="N13" s="40">
        <v>0</v>
      </c>
      <c r="O13" s="40">
        <v>0</v>
      </c>
      <c r="P13" s="40">
        <v>0</v>
      </c>
      <c r="Q13" s="40">
        <v>0</v>
      </c>
      <c r="R13" s="40">
        <v>0</v>
      </c>
      <c r="S13" s="40">
        <v>0</v>
      </c>
      <c r="T13" s="43" t="str">
        <f t="shared" si="10"/>
        <v>-</v>
      </c>
      <c r="U13" s="44">
        <v>1</v>
      </c>
      <c r="V13" s="45">
        <v>15000</v>
      </c>
      <c r="W13" s="40">
        <f t="shared" si="11"/>
        <v>15000</v>
      </c>
      <c r="X13" s="41">
        <f t="shared" si="2"/>
        <v>0.41666666666666663</v>
      </c>
      <c r="Y13" s="46">
        <f t="shared" si="3"/>
        <v>15000</v>
      </c>
      <c r="Z13" s="40">
        <f t="shared" si="12"/>
        <v>6249.9999999999991</v>
      </c>
      <c r="AA13" s="39">
        <f t="shared" si="4"/>
        <v>1</v>
      </c>
      <c r="AB13" s="47">
        <f t="shared" si="5"/>
        <v>15000</v>
      </c>
      <c r="AC13" s="40">
        <f t="shared" si="6"/>
        <v>15000</v>
      </c>
      <c r="AD13" s="46">
        <f t="shared" si="13"/>
        <v>8750</v>
      </c>
      <c r="AE13" s="46">
        <f t="shared" si="14"/>
        <v>23750</v>
      </c>
    </row>
    <row r="14" ht="24">
      <c r="A14" s="37" t="s">
        <v>33</v>
      </c>
      <c r="B14" s="48" t="s">
        <v>35</v>
      </c>
      <c r="C14" s="39">
        <v>0</v>
      </c>
      <c r="D14" s="39">
        <v>1</v>
      </c>
      <c r="E14" s="39">
        <v>0</v>
      </c>
      <c r="F14" s="40">
        <v>0</v>
      </c>
      <c r="G14" s="40">
        <v>5000</v>
      </c>
      <c r="H14" s="40">
        <v>0</v>
      </c>
      <c r="I14" s="41">
        <f t="shared" si="0"/>
        <v>0.41379310344827591</v>
      </c>
      <c r="J14" s="42">
        <f t="shared" si="1"/>
        <v>5000</v>
      </c>
      <c r="K14" s="40">
        <f t="shared" si="7"/>
        <v>2068.9655172413795</v>
      </c>
      <c r="L14" s="40">
        <f t="shared" si="8"/>
        <v>2068.9655172413795</v>
      </c>
      <c r="M14" s="40">
        <f t="shared" si="9"/>
        <v>2068.9655172413795</v>
      </c>
      <c r="N14" s="40">
        <v>0</v>
      </c>
      <c r="O14" s="40">
        <v>0</v>
      </c>
      <c r="P14" s="40">
        <v>0</v>
      </c>
      <c r="Q14" s="40">
        <v>0</v>
      </c>
      <c r="R14" s="40">
        <v>0</v>
      </c>
      <c r="S14" s="40">
        <v>0</v>
      </c>
      <c r="T14" s="43">
        <f t="shared" si="10"/>
        <v>1</v>
      </c>
      <c r="U14" s="44">
        <v>1</v>
      </c>
      <c r="V14" s="45">
        <v>5000</v>
      </c>
      <c r="W14" s="40">
        <f t="shared" si="11"/>
        <v>5000</v>
      </c>
      <c r="X14" s="41">
        <f t="shared" si="2"/>
        <v>0.41666666666666663</v>
      </c>
      <c r="Y14" s="46">
        <f t="shared" si="3"/>
        <v>5000</v>
      </c>
      <c r="Z14" s="40">
        <f t="shared" si="12"/>
        <v>2083.333333333333</v>
      </c>
      <c r="AA14" s="39">
        <f t="shared" si="4"/>
        <v>0</v>
      </c>
      <c r="AB14" s="47">
        <f t="shared" si="5"/>
        <v>0</v>
      </c>
      <c r="AC14" s="40">
        <f t="shared" si="6"/>
        <v>0</v>
      </c>
      <c r="AD14" s="46">
        <f t="shared" si="13"/>
        <v>-2083.333333333333</v>
      </c>
      <c r="AE14" s="46">
        <f t="shared" si="14"/>
        <v>2916.666666666667</v>
      </c>
    </row>
    <row r="15" ht="168">
      <c r="A15" s="49" t="s">
        <v>36</v>
      </c>
      <c r="B15" s="38" t="s">
        <v>37</v>
      </c>
      <c r="C15" s="39">
        <v>4</v>
      </c>
      <c r="D15" s="39">
        <v>3</v>
      </c>
      <c r="E15" s="39">
        <v>1</v>
      </c>
      <c r="F15" s="40">
        <v>30000</v>
      </c>
      <c r="G15" s="40">
        <v>37500</v>
      </c>
      <c r="H15" s="40">
        <v>7500</v>
      </c>
      <c r="I15" s="41">
        <f t="shared" si="0"/>
        <v>3.0689655172413794</v>
      </c>
      <c r="J15" s="42">
        <f t="shared" si="1"/>
        <v>9375</v>
      </c>
      <c r="K15" s="45">
        <f t="shared" si="7"/>
        <v>28771.551724137931</v>
      </c>
      <c r="L15" s="45">
        <f t="shared" si="8"/>
        <v>28771.551724137931</v>
      </c>
      <c r="M15" s="45">
        <f t="shared" si="9"/>
        <v>28771.551724137931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3">
        <f t="shared" si="10"/>
        <v>1</v>
      </c>
      <c r="U15" s="44">
        <v>3</v>
      </c>
      <c r="V15" s="45">
        <v>7500</v>
      </c>
      <c r="W15" s="45">
        <f t="shared" si="11"/>
        <v>22500</v>
      </c>
      <c r="X15" s="41">
        <f t="shared" si="2"/>
        <v>1.25</v>
      </c>
      <c r="Y15" s="42">
        <f t="shared" si="3"/>
        <v>7500</v>
      </c>
      <c r="Z15" s="45">
        <f t="shared" si="12"/>
        <v>9375</v>
      </c>
      <c r="AA15" s="39">
        <f t="shared" si="4"/>
        <v>1</v>
      </c>
      <c r="AB15" s="47">
        <f t="shared" si="5"/>
        <v>7500</v>
      </c>
      <c r="AC15" s="40">
        <f t="shared" si="6"/>
        <v>7500</v>
      </c>
      <c r="AD15" s="42">
        <f t="shared" si="13"/>
        <v>-1875</v>
      </c>
      <c r="AE15" s="42">
        <f t="shared" si="14"/>
        <v>20625</v>
      </c>
    </row>
    <row r="16" ht="228">
      <c r="A16" s="37" t="s">
        <v>38</v>
      </c>
      <c r="B16" s="38" t="s">
        <v>39</v>
      </c>
      <c r="C16" s="39">
        <v>4</v>
      </c>
      <c r="D16" s="39">
        <v>0</v>
      </c>
      <c r="E16" s="39">
        <v>0</v>
      </c>
      <c r="F16" s="40">
        <v>24960.91</v>
      </c>
      <c r="G16" s="40">
        <v>0</v>
      </c>
      <c r="H16" s="40">
        <v>0</v>
      </c>
      <c r="I16" s="41">
        <f t="shared" si="0"/>
        <v>1.6551724137931036</v>
      </c>
      <c r="J16" s="42">
        <f t="shared" si="1"/>
        <v>6240.2275</v>
      </c>
      <c r="K16" s="45">
        <f t="shared" si="7"/>
        <v>10328.652413793105</v>
      </c>
      <c r="L16" s="45">
        <f t="shared" si="8"/>
        <v>10328.652413793105</v>
      </c>
      <c r="M16" s="45">
        <f t="shared" si="9"/>
        <v>10328.652413793105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3">
        <f t="shared" si="10"/>
        <v>1</v>
      </c>
      <c r="U16" s="44">
        <v>2</v>
      </c>
      <c r="V16" s="45">
        <v>6500</v>
      </c>
      <c r="W16" s="45">
        <f t="shared" si="11"/>
        <v>13000</v>
      </c>
      <c r="X16" s="41">
        <f t="shared" si="2"/>
        <v>0.83333333333333326</v>
      </c>
      <c r="Y16" s="42">
        <f t="shared" si="3"/>
        <v>6500</v>
      </c>
      <c r="Z16" s="45">
        <f t="shared" si="12"/>
        <v>5416.6666666666661</v>
      </c>
      <c r="AA16" s="39">
        <f t="shared" si="4"/>
        <v>0</v>
      </c>
      <c r="AB16" s="47">
        <f t="shared" si="5"/>
        <v>0</v>
      </c>
      <c r="AC16" s="40">
        <f t="shared" si="6"/>
        <v>0</v>
      </c>
      <c r="AD16" s="42">
        <f t="shared" si="13"/>
        <v>-5416.6666666666661</v>
      </c>
      <c r="AE16" s="42">
        <f t="shared" si="14"/>
        <v>7583.3333333333339</v>
      </c>
    </row>
    <row r="17" ht="84">
      <c r="A17" s="49" t="s">
        <v>40</v>
      </c>
      <c r="B17" s="38" t="s">
        <v>41</v>
      </c>
      <c r="C17" s="39">
        <v>0</v>
      </c>
      <c r="D17" s="39">
        <v>2</v>
      </c>
      <c r="E17" s="39">
        <v>0</v>
      </c>
      <c r="F17" s="40">
        <v>0</v>
      </c>
      <c r="G17" s="40">
        <v>25000</v>
      </c>
      <c r="H17" s="40">
        <v>0</v>
      </c>
      <c r="I17" s="41">
        <f t="shared" si="0"/>
        <v>0.82758620689655182</v>
      </c>
      <c r="J17" s="42">
        <f t="shared" si="1"/>
        <v>12500</v>
      </c>
      <c r="K17" s="45">
        <f t="shared" si="7"/>
        <v>10344.827586206899</v>
      </c>
      <c r="L17" s="45">
        <f t="shared" si="8"/>
        <v>10344.827586206899</v>
      </c>
      <c r="M17" s="45">
        <f t="shared" si="9"/>
        <v>10344.827586206899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3">
        <f t="shared" si="10"/>
        <v>1</v>
      </c>
      <c r="U17" s="44">
        <v>1</v>
      </c>
      <c r="V17" s="45">
        <v>25000</v>
      </c>
      <c r="W17" s="45">
        <f t="shared" si="11"/>
        <v>25000</v>
      </c>
      <c r="X17" s="41">
        <f t="shared" si="2"/>
        <v>0.41666666666666663</v>
      </c>
      <c r="Y17" s="42">
        <f t="shared" si="3"/>
        <v>25000</v>
      </c>
      <c r="Z17" s="45">
        <f t="shared" si="12"/>
        <v>10416.666666666666</v>
      </c>
      <c r="AA17" s="39">
        <f t="shared" si="4"/>
        <v>0</v>
      </c>
      <c r="AB17" s="47">
        <f t="shared" si="5"/>
        <v>0</v>
      </c>
      <c r="AC17" s="40">
        <f t="shared" si="6"/>
        <v>0</v>
      </c>
      <c r="AD17" s="42">
        <f t="shared" si="13"/>
        <v>-10416.666666666666</v>
      </c>
      <c r="AE17" s="42">
        <f t="shared" si="14"/>
        <v>14583.333333333334</v>
      </c>
    </row>
    <row r="18" ht="240">
      <c r="A18" s="49" t="s">
        <v>42</v>
      </c>
      <c r="B18" s="50" t="s">
        <v>43</v>
      </c>
      <c r="C18" s="51">
        <v>0</v>
      </c>
      <c r="D18" s="39">
        <v>3</v>
      </c>
      <c r="E18" s="39">
        <v>0</v>
      </c>
      <c r="F18" s="40">
        <v>0</v>
      </c>
      <c r="G18" s="40">
        <v>45000</v>
      </c>
      <c r="H18" s="40">
        <v>0</v>
      </c>
      <c r="I18" s="41">
        <f t="shared" si="0"/>
        <v>1.2413793103448276</v>
      </c>
      <c r="J18" s="42">
        <f t="shared" si="1"/>
        <v>15000</v>
      </c>
      <c r="K18" s="45">
        <f t="shared" si="7"/>
        <v>18620.689655172413</v>
      </c>
      <c r="L18" s="45">
        <f t="shared" si="8"/>
        <v>18620.689655172413</v>
      </c>
      <c r="M18" s="45">
        <f t="shared" si="9"/>
        <v>18620.689655172413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3">
        <f t="shared" si="10"/>
        <v>1</v>
      </c>
      <c r="U18" s="44">
        <v>1</v>
      </c>
      <c r="V18" s="45">
        <v>15000</v>
      </c>
      <c r="W18" s="45">
        <f t="shared" si="11"/>
        <v>15000</v>
      </c>
      <c r="X18" s="41">
        <f t="shared" si="2"/>
        <v>0.41666666666666663</v>
      </c>
      <c r="Y18" s="42">
        <f t="shared" si="3"/>
        <v>15000</v>
      </c>
      <c r="Z18" s="45">
        <f t="shared" si="12"/>
        <v>6249.9999999999991</v>
      </c>
      <c r="AA18" s="39">
        <f t="shared" si="4"/>
        <v>0</v>
      </c>
      <c r="AB18" s="47">
        <f t="shared" si="5"/>
        <v>0</v>
      </c>
      <c r="AC18" s="40">
        <f t="shared" si="6"/>
        <v>0</v>
      </c>
      <c r="AD18" s="42">
        <f t="shared" si="13"/>
        <v>-6249.9999999999991</v>
      </c>
      <c r="AE18" s="42">
        <f t="shared" si="14"/>
        <v>8750</v>
      </c>
    </row>
    <row r="19" ht="72">
      <c r="A19" s="49" t="s">
        <v>44</v>
      </c>
      <c r="B19" s="52" t="s">
        <v>45</v>
      </c>
      <c r="C19" s="39">
        <v>1</v>
      </c>
      <c r="D19" s="39">
        <v>1</v>
      </c>
      <c r="E19" s="39">
        <v>0</v>
      </c>
      <c r="F19" s="40">
        <v>12500</v>
      </c>
      <c r="G19" s="40">
        <v>12500</v>
      </c>
      <c r="H19" s="40">
        <v>0</v>
      </c>
      <c r="I19" s="41">
        <f t="shared" si="0"/>
        <v>0.82758620689655182</v>
      </c>
      <c r="J19" s="42">
        <f t="shared" si="1"/>
        <v>12500</v>
      </c>
      <c r="K19" s="45">
        <f t="shared" si="7"/>
        <v>10344.827586206899</v>
      </c>
      <c r="L19" s="45">
        <f t="shared" si="8"/>
        <v>10344.827586206899</v>
      </c>
      <c r="M19" s="45">
        <f t="shared" si="9"/>
        <v>10344.827586206899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3">
        <f t="shared" si="10"/>
        <v>1</v>
      </c>
      <c r="U19" s="44">
        <v>1</v>
      </c>
      <c r="V19" s="45">
        <v>12500</v>
      </c>
      <c r="W19" s="45">
        <f t="shared" si="11"/>
        <v>12500</v>
      </c>
      <c r="X19" s="41">
        <f t="shared" si="2"/>
        <v>0.41666666666666663</v>
      </c>
      <c r="Y19" s="42">
        <f t="shared" si="3"/>
        <v>12500</v>
      </c>
      <c r="Z19" s="45">
        <f t="shared" si="12"/>
        <v>5208.333333333333</v>
      </c>
      <c r="AA19" s="39">
        <f t="shared" si="4"/>
        <v>0</v>
      </c>
      <c r="AB19" s="47">
        <f t="shared" si="5"/>
        <v>0</v>
      </c>
      <c r="AC19" s="40">
        <f t="shared" si="6"/>
        <v>0</v>
      </c>
      <c r="AD19" s="42">
        <f t="shared" si="13"/>
        <v>-5208.333333333333</v>
      </c>
      <c r="AE19" s="42">
        <f t="shared" si="14"/>
        <v>7291.666666666667</v>
      </c>
    </row>
    <row r="20" ht="120">
      <c r="A20" s="53" t="s">
        <v>46</v>
      </c>
      <c r="B20" s="54" t="s">
        <v>47</v>
      </c>
      <c r="C20" s="51">
        <v>0</v>
      </c>
      <c r="D20" s="39">
        <v>0</v>
      </c>
      <c r="E20" s="39">
        <v>5</v>
      </c>
      <c r="F20" s="40">
        <v>0</v>
      </c>
      <c r="G20" s="40">
        <v>0</v>
      </c>
      <c r="H20" s="40">
        <v>25000</v>
      </c>
      <c r="I20" s="41">
        <f t="shared" si="0"/>
        <v>0.86206896551724155</v>
      </c>
      <c r="J20" s="42">
        <f t="shared" si="1"/>
        <v>5000</v>
      </c>
      <c r="K20" s="45">
        <f t="shared" si="7"/>
        <v>4310.3448275862074</v>
      </c>
      <c r="L20" s="45">
        <f t="shared" si="8"/>
        <v>4310.3448275862074</v>
      </c>
      <c r="M20" s="45">
        <f t="shared" si="9"/>
        <v>4310.3448275862074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3" t="str">
        <f t="shared" si="10"/>
        <v>-</v>
      </c>
      <c r="U20" s="44">
        <v>4</v>
      </c>
      <c r="V20" s="45">
        <v>5000</v>
      </c>
      <c r="W20" s="45">
        <f t="shared" si="11"/>
        <v>20000</v>
      </c>
      <c r="X20" s="41">
        <f t="shared" si="2"/>
        <v>1.6666666666666665</v>
      </c>
      <c r="Y20" s="42">
        <f t="shared" si="3"/>
        <v>5000</v>
      </c>
      <c r="Z20" s="45">
        <f t="shared" si="12"/>
        <v>8333.3333333333321</v>
      </c>
      <c r="AA20" s="39">
        <f t="shared" si="4"/>
        <v>5</v>
      </c>
      <c r="AB20" s="47">
        <f t="shared" si="5"/>
        <v>5000</v>
      </c>
      <c r="AC20" s="40">
        <f t="shared" si="6"/>
        <v>25000</v>
      </c>
      <c r="AD20" s="42">
        <f t="shared" si="13"/>
        <v>16666.666666666668</v>
      </c>
      <c r="AE20" s="42">
        <f t="shared" si="14"/>
        <v>36666.666666666672</v>
      </c>
    </row>
    <row r="21" ht="192">
      <c r="A21" s="49" t="s">
        <v>48</v>
      </c>
      <c r="B21" s="52" t="s">
        <v>49</v>
      </c>
      <c r="C21" s="39">
        <v>6</v>
      </c>
      <c r="D21" s="39">
        <v>10</v>
      </c>
      <c r="E21" s="39">
        <v>2</v>
      </c>
      <c r="F21" s="40">
        <v>60000</v>
      </c>
      <c r="G21" s="40">
        <v>100000</v>
      </c>
      <c r="H21" s="40">
        <v>20000</v>
      </c>
      <c r="I21" s="41">
        <f t="shared" si="0"/>
        <v>6.9655172413793105</v>
      </c>
      <c r="J21" s="42">
        <f t="shared" si="1"/>
        <v>10000</v>
      </c>
      <c r="K21" s="45">
        <f t="shared" si="7"/>
        <v>69655.172413793101</v>
      </c>
      <c r="L21" s="45">
        <f t="shared" si="8"/>
        <v>69655.172413793101</v>
      </c>
      <c r="M21" s="45">
        <f t="shared" si="9"/>
        <v>69655.172413793101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3">
        <f t="shared" si="10"/>
        <v>1</v>
      </c>
      <c r="U21" s="44">
        <v>9</v>
      </c>
      <c r="V21" s="45">
        <v>10000</v>
      </c>
      <c r="W21" s="45">
        <f t="shared" si="11"/>
        <v>90000</v>
      </c>
      <c r="X21" s="41">
        <f t="shared" si="2"/>
        <v>3.75</v>
      </c>
      <c r="Y21" s="42">
        <f t="shared" si="3"/>
        <v>10000</v>
      </c>
      <c r="Z21" s="45">
        <f t="shared" si="12"/>
        <v>37500</v>
      </c>
      <c r="AA21" s="39">
        <f t="shared" si="4"/>
        <v>2</v>
      </c>
      <c r="AB21" s="47">
        <f t="shared" si="5"/>
        <v>10000</v>
      </c>
      <c r="AC21" s="40">
        <f t="shared" si="6"/>
        <v>20000</v>
      </c>
      <c r="AD21" s="42">
        <f t="shared" si="13"/>
        <v>-17500</v>
      </c>
      <c r="AE21" s="42">
        <f t="shared" si="14"/>
        <v>72500</v>
      </c>
    </row>
    <row r="22" ht="60">
      <c r="A22" s="49" t="s">
        <v>50</v>
      </c>
      <c r="B22" s="55" t="s">
        <v>51</v>
      </c>
      <c r="C22" s="39">
        <v>1</v>
      </c>
      <c r="D22" s="39">
        <v>2</v>
      </c>
      <c r="E22" s="39">
        <v>0</v>
      </c>
      <c r="F22" s="40">
        <v>15000</v>
      </c>
      <c r="G22" s="40">
        <v>30000</v>
      </c>
      <c r="H22" s="40">
        <v>0</v>
      </c>
      <c r="I22" s="41">
        <f t="shared" si="0"/>
        <v>1.2413793103448276</v>
      </c>
      <c r="J22" s="42">
        <f t="shared" si="1"/>
        <v>15000</v>
      </c>
      <c r="K22" s="45">
        <f t="shared" si="7"/>
        <v>18620.689655172413</v>
      </c>
      <c r="L22" s="45">
        <f t="shared" si="8"/>
        <v>18620.689655172413</v>
      </c>
      <c r="M22" s="45">
        <f t="shared" si="9"/>
        <v>18620.689655172413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3">
        <f t="shared" si="10"/>
        <v>1</v>
      </c>
      <c r="U22" s="44">
        <v>0</v>
      </c>
      <c r="V22" s="45">
        <v>0</v>
      </c>
      <c r="W22" s="45">
        <f t="shared" si="11"/>
        <v>0</v>
      </c>
      <c r="X22" s="41">
        <f t="shared" si="2"/>
        <v>0</v>
      </c>
      <c r="Y22" s="42">
        <f t="shared" si="3"/>
        <v>0</v>
      </c>
      <c r="Z22" s="45">
        <f t="shared" si="12"/>
        <v>0</v>
      </c>
      <c r="AA22" s="39">
        <f t="shared" si="4"/>
        <v>0</v>
      </c>
      <c r="AB22" s="47">
        <f t="shared" si="5"/>
        <v>0</v>
      </c>
      <c r="AC22" s="40">
        <f t="shared" si="6"/>
        <v>0</v>
      </c>
      <c r="AD22" s="42">
        <f t="shared" si="13"/>
        <v>0</v>
      </c>
      <c r="AE22" s="42">
        <f t="shared" si="14"/>
        <v>0</v>
      </c>
    </row>
    <row r="23" ht="96">
      <c r="A23" s="56" t="s">
        <v>52</v>
      </c>
      <c r="B23" s="57">
        <v>1</v>
      </c>
      <c r="C23" s="30">
        <f>SUM(C24:C24)</f>
        <v>0</v>
      </c>
      <c r="D23" s="30">
        <f>SUM(D24:D24)</f>
        <v>3</v>
      </c>
      <c r="E23" s="30">
        <f>SUM(E24:E24)</f>
        <v>5</v>
      </c>
      <c r="F23" s="31">
        <f>SUM(F24:F24)*$B23</f>
        <v>0</v>
      </c>
      <c r="G23" s="31">
        <f>SUM(G24:G24)*$B23</f>
        <v>750</v>
      </c>
      <c r="H23" s="31">
        <f>SUM(H24:H24)*$B23</f>
        <v>1050</v>
      </c>
      <c r="I23" s="58">
        <f t="shared" si="0"/>
        <v>2.1034482758620694</v>
      </c>
      <c r="J23" s="33">
        <f t="shared" si="1"/>
        <v>225</v>
      </c>
      <c r="K23" s="31">
        <f>ROUND(SUM(K24:K24),-3)*$B23</f>
        <v>0</v>
      </c>
      <c r="L23" s="31">
        <f>ROUND(SUM(L24:L24),-3)*$B23</f>
        <v>0</v>
      </c>
      <c r="M23" s="31">
        <f>ROUND(SUM(M24:M24),-3)*$B23</f>
        <v>0</v>
      </c>
      <c r="N23" s="30">
        <f>SUM(N24:N31)</f>
        <v>0</v>
      </c>
      <c r="O23" s="30">
        <f>SUM(O24:O31)</f>
        <v>0</v>
      </c>
      <c r="P23" s="33">
        <f>SUM(P24)</f>
        <v>1</v>
      </c>
      <c r="Q23" s="31">
        <f>SUM(Q24:Q31)</f>
        <v>0</v>
      </c>
      <c r="R23" s="31">
        <f>SUM(R24:R31)*$B23</f>
        <v>0</v>
      </c>
      <c r="S23" s="31">
        <f>SUM(S24:S24)*$B23</f>
        <v>100</v>
      </c>
      <c r="T23" s="34">
        <f t="shared" si="10"/>
        <v>1</v>
      </c>
      <c r="U23" s="32">
        <f>U24</f>
        <v>4</v>
      </c>
      <c r="V23" s="35">
        <v>0</v>
      </c>
      <c r="W23" s="31">
        <f>ROUND(SUM(W24:W24),-3)*$B23</f>
        <v>1000</v>
      </c>
      <c r="X23" s="32">
        <f t="shared" si="2"/>
        <v>1.6666666666666665</v>
      </c>
      <c r="Y23" s="36">
        <f t="shared" si="3"/>
        <v>0</v>
      </c>
      <c r="Z23" s="36">
        <f>ROUND(W23/12*$B$36,-3)</f>
        <v>0</v>
      </c>
      <c r="AA23" s="30">
        <f t="shared" si="4"/>
        <v>5</v>
      </c>
      <c r="AB23" s="35">
        <f t="shared" si="5"/>
        <v>210</v>
      </c>
      <c r="AC23" s="33">
        <f t="shared" si="6"/>
        <v>1050</v>
      </c>
      <c r="AD23" s="36">
        <f>ROUND(IF(T23="-",S23,S23*T23)-(Z23-AC23),-3)</f>
        <v>1000</v>
      </c>
      <c r="AE23" s="36">
        <f>ROUND(SUM(AE24:AE24),-3)*$B23</f>
        <v>2000</v>
      </c>
    </row>
    <row r="24" ht="13.199999999999999">
      <c r="A24" s="49" t="s">
        <v>53</v>
      </c>
      <c r="B24" s="59" t="s">
        <v>54</v>
      </c>
      <c r="C24" s="39">
        <v>0</v>
      </c>
      <c r="D24" s="39">
        <v>3</v>
      </c>
      <c r="E24" s="39">
        <v>5</v>
      </c>
      <c r="F24" s="40">
        <v>0</v>
      </c>
      <c r="G24" s="40">
        <v>750</v>
      </c>
      <c r="H24" s="40">
        <v>1050</v>
      </c>
      <c r="I24" s="41">
        <f t="shared" si="0"/>
        <v>2.1034482758620694</v>
      </c>
      <c r="J24" s="42">
        <f t="shared" si="1"/>
        <v>225</v>
      </c>
      <c r="K24" s="45">
        <f>I24*J24</f>
        <v>473.27586206896564</v>
      </c>
      <c r="L24" s="45">
        <f>K24</f>
        <v>473.27586206896564</v>
      </c>
      <c r="M24" s="45">
        <f>L24</f>
        <v>473.27586206896564</v>
      </c>
      <c r="N24" s="40">
        <v>0</v>
      </c>
      <c r="O24" s="40">
        <v>0</v>
      </c>
      <c r="P24" s="40">
        <v>1</v>
      </c>
      <c r="Q24" s="40">
        <v>0</v>
      </c>
      <c r="R24" s="40">
        <v>0</v>
      </c>
      <c r="S24" s="40">
        <v>100</v>
      </c>
      <c r="T24" s="43">
        <f t="shared" si="10"/>
        <v>1</v>
      </c>
      <c r="U24" s="44">
        <v>4</v>
      </c>
      <c r="V24" s="45">
        <v>200</v>
      </c>
      <c r="W24" s="45">
        <f>U24*V24</f>
        <v>800</v>
      </c>
      <c r="X24" s="41">
        <f t="shared" si="2"/>
        <v>1.6666666666666665</v>
      </c>
      <c r="Y24" s="42">
        <f t="shared" si="3"/>
        <v>200</v>
      </c>
      <c r="Z24" s="45">
        <f>X24*Y24</f>
        <v>333.33333333333331</v>
      </c>
      <c r="AA24" s="39">
        <f t="shared" si="4"/>
        <v>5</v>
      </c>
      <c r="AB24" s="47">
        <f t="shared" si="5"/>
        <v>210</v>
      </c>
      <c r="AC24" s="40">
        <f t="shared" si="6"/>
        <v>1050</v>
      </c>
      <c r="AD24" s="42">
        <f>(IF(T24="-",S24*T$29,S24*T24)-(Z24-AC24))</f>
        <v>816.66666666666674</v>
      </c>
      <c r="AE24" s="42">
        <f>W24+AD24</f>
        <v>1616.6666666666667</v>
      </c>
    </row>
    <row r="25" ht="156">
      <c r="A25" s="56" t="s">
        <v>55</v>
      </c>
      <c r="B25" s="29">
        <v>1</v>
      </c>
      <c r="C25" s="30">
        <f>SUM(C26:C28)</f>
        <v>5</v>
      </c>
      <c r="D25" s="30">
        <f>SUM(D26:D28)</f>
        <v>5</v>
      </c>
      <c r="E25" s="30">
        <f>SUM(E26:E28)</f>
        <v>6</v>
      </c>
      <c r="F25" s="33">
        <f>SUM(F26:F28)*$B25</f>
        <v>60000</v>
      </c>
      <c r="G25" s="33">
        <f>SUM(G26:G28)*$B25</f>
        <v>50000</v>
      </c>
      <c r="H25" s="33">
        <f>SUM(H26:H28)*$B25</f>
        <v>40000</v>
      </c>
      <c r="I25" s="32">
        <f t="shared" si="0"/>
        <v>5.1724137931034484</v>
      </c>
      <c r="J25" s="33">
        <f t="shared" si="1"/>
        <v>9375</v>
      </c>
      <c r="K25" s="31">
        <f>ROUND(SUM(K26:K28),-3)*$B25</f>
        <v>51000</v>
      </c>
      <c r="L25" s="31">
        <f>ROUND(SUM(L26:L28),-3)*$B25</f>
        <v>51000</v>
      </c>
      <c r="M25" s="31">
        <f>ROUND(SUM(M26:M28),-3)*$B25</f>
        <v>51000</v>
      </c>
      <c r="N25" s="33">
        <f>SUM(N26:N28)</f>
        <v>0</v>
      </c>
      <c r="O25" s="33">
        <f>SUM(O26:O28)</f>
        <v>0</v>
      </c>
      <c r="P25" s="33">
        <f>SUM(P26:P28)</f>
        <v>1</v>
      </c>
      <c r="Q25" s="33">
        <f>SUM(Q26:Q28)</f>
        <v>0</v>
      </c>
      <c r="R25" s="33">
        <f>SUM(R26:R28)*$B25</f>
        <v>0</v>
      </c>
      <c r="S25" s="33">
        <f>SUM(S26:S28)*$B25</f>
        <v>10000</v>
      </c>
      <c r="T25" s="34">
        <f t="shared" si="10"/>
        <v>1</v>
      </c>
      <c r="U25" s="32">
        <v>3</v>
      </c>
      <c r="V25" s="33">
        <v>8033</v>
      </c>
      <c r="W25" s="31">
        <f>ROUND(SUM(W26:W28),-3)*$B25</f>
        <v>29000</v>
      </c>
      <c r="X25" s="32">
        <f t="shared" si="2"/>
        <v>1.25</v>
      </c>
      <c r="Y25" s="36">
        <f t="shared" si="3"/>
        <v>8033</v>
      </c>
      <c r="Z25" s="36">
        <f>ROUND(W25/12*$B$36,-3)</f>
        <v>12000</v>
      </c>
      <c r="AA25" s="30">
        <f t="shared" si="4"/>
        <v>6</v>
      </c>
      <c r="AB25" s="35">
        <f t="shared" si="5"/>
        <v>6666.666666666667</v>
      </c>
      <c r="AC25" s="33">
        <f t="shared" si="6"/>
        <v>40000</v>
      </c>
      <c r="AD25" s="36">
        <f>ROUND(IF(T25="-",S25,S25*T25)-(Z25-AC25),-3)</f>
        <v>38000</v>
      </c>
      <c r="AE25" s="36">
        <f>ROUND(SUM(AE26:AE28),-3)*$B25</f>
        <v>67000</v>
      </c>
    </row>
    <row r="26" ht="13.199999999999999">
      <c r="A26" s="49" t="s">
        <v>56</v>
      </c>
      <c r="B26" s="59" t="s">
        <v>57</v>
      </c>
      <c r="C26" s="39">
        <v>4</v>
      </c>
      <c r="D26" s="39">
        <v>5</v>
      </c>
      <c r="E26" s="39">
        <v>2</v>
      </c>
      <c r="F26" s="40">
        <v>50000</v>
      </c>
      <c r="G26" s="40">
        <v>50000</v>
      </c>
      <c r="H26" s="40">
        <v>20000</v>
      </c>
      <c r="I26" s="41">
        <f t="shared" si="0"/>
        <v>4.0689655172413799</v>
      </c>
      <c r="J26" s="42">
        <f t="shared" si="1"/>
        <v>10909.09090909091</v>
      </c>
      <c r="K26" s="45">
        <f t="shared" ref="K26:K28" si="15">I26*J26</f>
        <v>44388.714733542329</v>
      </c>
      <c r="L26" s="45">
        <f t="shared" ref="L26:L28" si="16">K26</f>
        <v>44388.714733542329</v>
      </c>
      <c r="M26" s="45">
        <f t="shared" ref="M26:M28" si="17">L26</f>
        <v>44388.714733542329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3">
        <f t="shared" si="10"/>
        <v>1</v>
      </c>
      <c r="U26" s="44">
        <v>0</v>
      </c>
      <c r="V26" s="45">
        <v>0</v>
      </c>
      <c r="W26" s="45">
        <f t="shared" ref="W26:W28" si="18">U26*V26</f>
        <v>0</v>
      </c>
      <c r="X26" s="41">
        <f t="shared" si="2"/>
        <v>0</v>
      </c>
      <c r="Y26" s="42">
        <f t="shared" si="3"/>
        <v>0</v>
      </c>
      <c r="Z26" s="45">
        <f t="shared" ref="Z26:Z28" si="19">X26*Y26</f>
        <v>0</v>
      </c>
      <c r="AA26" s="39">
        <f t="shared" si="4"/>
        <v>2</v>
      </c>
      <c r="AB26" s="47">
        <f t="shared" si="5"/>
        <v>10000</v>
      </c>
      <c r="AC26" s="40">
        <f t="shared" si="6"/>
        <v>20000</v>
      </c>
      <c r="AD26" s="42">
        <f t="shared" ref="AD26:AD28" si="20">(IF(T26="-",S26*T$29,S26*T26)-(Z26-AC26))</f>
        <v>20000</v>
      </c>
      <c r="AE26" s="42">
        <f t="shared" ref="AE26:AE28" si="21">W26+AD26</f>
        <v>20000</v>
      </c>
    </row>
    <row r="27" ht="48">
      <c r="A27" s="37" t="s">
        <v>58</v>
      </c>
      <c r="B27" s="60" t="s">
        <v>59</v>
      </c>
      <c r="C27" s="61">
        <v>0</v>
      </c>
      <c r="D27" s="39">
        <v>0</v>
      </c>
      <c r="E27" s="61">
        <v>1</v>
      </c>
      <c r="F27" s="40">
        <v>0</v>
      </c>
      <c r="G27" s="62">
        <v>0</v>
      </c>
      <c r="H27" s="40">
        <v>5000</v>
      </c>
      <c r="I27" s="41">
        <f t="shared" si="0"/>
        <v>0.17241379310344829</v>
      </c>
      <c r="J27" s="42">
        <f t="shared" si="1"/>
        <v>5000</v>
      </c>
      <c r="K27" s="63">
        <f t="shared" si="15"/>
        <v>862.06896551724139</v>
      </c>
      <c r="L27" s="45">
        <f t="shared" si="16"/>
        <v>862.06896551724139</v>
      </c>
      <c r="M27" s="63">
        <f t="shared" si="17"/>
        <v>862.06896551724139</v>
      </c>
      <c r="N27" s="40">
        <v>0</v>
      </c>
      <c r="O27" s="62">
        <v>0</v>
      </c>
      <c r="P27" s="40">
        <v>0</v>
      </c>
      <c r="Q27" s="62">
        <v>0</v>
      </c>
      <c r="R27" s="40">
        <v>0</v>
      </c>
      <c r="S27" s="62">
        <v>0</v>
      </c>
      <c r="T27" s="43" t="str">
        <f t="shared" si="10"/>
        <v>-</v>
      </c>
      <c r="U27" s="64">
        <v>1</v>
      </c>
      <c r="V27" s="45">
        <v>5000</v>
      </c>
      <c r="W27" s="63">
        <f t="shared" si="18"/>
        <v>5000</v>
      </c>
      <c r="X27" s="41">
        <f t="shared" si="2"/>
        <v>0.41666666666666663</v>
      </c>
      <c r="Y27" s="65">
        <f t="shared" si="3"/>
        <v>5000</v>
      </c>
      <c r="Z27" s="45">
        <f t="shared" si="19"/>
        <v>2083.333333333333</v>
      </c>
      <c r="AA27" s="61">
        <f t="shared" si="4"/>
        <v>1</v>
      </c>
      <c r="AB27" s="47">
        <f t="shared" si="5"/>
        <v>5000</v>
      </c>
      <c r="AC27" s="62">
        <f t="shared" si="6"/>
        <v>5000</v>
      </c>
      <c r="AD27" s="42">
        <f t="shared" si="20"/>
        <v>2916.666666666667</v>
      </c>
      <c r="AE27" s="42">
        <f t="shared" si="21"/>
        <v>7916.666666666667</v>
      </c>
    </row>
    <row r="28" ht="72">
      <c r="A28" s="49" t="s">
        <v>60</v>
      </c>
      <c r="B28" s="59" t="s">
        <v>61</v>
      </c>
      <c r="C28" s="39">
        <v>1</v>
      </c>
      <c r="D28" s="39">
        <v>0</v>
      </c>
      <c r="E28" s="39">
        <v>3</v>
      </c>
      <c r="F28" s="40">
        <v>10000</v>
      </c>
      <c r="G28" s="40">
        <v>0</v>
      </c>
      <c r="H28" s="40">
        <v>15000</v>
      </c>
      <c r="I28" s="41">
        <f t="shared" si="0"/>
        <v>0.93103448275862077</v>
      </c>
      <c r="J28" s="42">
        <f t="shared" si="1"/>
        <v>6250</v>
      </c>
      <c r="K28" s="45">
        <f t="shared" si="15"/>
        <v>5818.9655172413795</v>
      </c>
      <c r="L28" s="45">
        <f t="shared" si="16"/>
        <v>5818.9655172413795</v>
      </c>
      <c r="M28" s="45">
        <f t="shared" si="17"/>
        <v>5818.9655172413795</v>
      </c>
      <c r="N28" s="40">
        <v>0</v>
      </c>
      <c r="O28" s="40">
        <v>0</v>
      </c>
      <c r="P28" s="40">
        <v>1</v>
      </c>
      <c r="Q28" s="40">
        <v>0</v>
      </c>
      <c r="R28" s="40">
        <v>0</v>
      </c>
      <c r="S28" s="40">
        <v>10000</v>
      </c>
      <c r="T28" s="43">
        <f t="shared" si="10"/>
        <v>1</v>
      </c>
      <c r="U28" s="44">
        <v>3</v>
      </c>
      <c r="V28" s="45">
        <v>8033</v>
      </c>
      <c r="W28" s="45">
        <f t="shared" si="18"/>
        <v>24099</v>
      </c>
      <c r="X28" s="41">
        <f t="shared" si="2"/>
        <v>1.25</v>
      </c>
      <c r="Y28" s="42">
        <f t="shared" si="3"/>
        <v>8033</v>
      </c>
      <c r="Z28" s="45">
        <f t="shared" si="19"/>
        <v>10041.25</v>
      </c>
      <c r="AA28" s="39">
        <f t="shared" si="4"/>
        <v>3</v>
      </c>
      <c r="AB28" s="47">
        <f t="shared" si="5"/>
        <v>5000</v>
      </c>
      <c r="AC28" s="40">
        <f t="shared" si="6"/>
        <v>15000</v>
      </c>
      <c r="AD28" s="42">
        <f t="shared" si="20"/>
        <v>14958.75</v>
      </c>
      <c r="AE28" s="42">
        <f t="shared" si="21"/>
        <v>39057.75</v>
      </c>
    </row>
    <row r="29" ht="87" customHeight="1">
      <c r="A29" s="66" t="s">
        <v>62</v>
      </c>
      <c r="B29" s="29">
        <v>1</v>
      </c>
      <c r="C29" s="30">
        <f>SUM(C30:C30)</f>
        <v>5</v>
      </c>
      <c r="D29" s="30">
        <f>SUM(D30:D30)</f>
        <v>3</v>
      </c>
      <c r="E29" s="30">
        <f>SUM(E30:E30)</f>
        <v>1</v>
      </c>
      <c r="F29" s="31">
        <f>SUM(F30:F30)*$B29</f>
        <v>100000</v>
      </c>
      <c r="G29" s="31">
        <f>SUM(G30:G30)*$B29</f>
        <v>60000</v>
      </c>
      <c r="H29" s="33">
        <f>SUM(H30)*$B29</f>
        <v>20000</v>
      </c>
      <c r="I29" s="32">
        <f t="shared" si="0"/>
        <v>3.4827586206896552</v>
      </c>
      <c r="J29" s="33">
        <f t="shared" si="1"/>
        <v>20000</v>
      </c>
      <c r="K29" s="31">
        <f>ROUND(SUM(K30:K30),-3)*$B29</f>
        <v>70000</v>
      </c>
      <c r="L29" s="31">
        <f>ROUND(SUM(L30:L30),-3)*$B29</f>
        <v>70000</v>
      </c>
      <c r="M29" s="31">
        <f>ROUND(SUM(M30:M30),-3)*$B29</f>
        <v>70000</v>
      </c>
      <c r="N29" s="30">
        <f>SUM(N30:N30)</f>
        <v>0</v>
      </c>
      <c r="O29" s="30">
        <f>SUM(O30:O30)</f>
        <v>0</v>
      </c>
      <c r="P29" s="30">
        <f>SUM(P30:P30)</f>
        <v>0</v>
      </c>
      <c r="Q29" s="31">
        <f>SUM(Q30:Q30)</f>
        <v>0</v>
      </c>
      <c r="R29" s="31">
        <f>SUM(R30:R30)*$B29</f>
        <v>0</v>
      </c>
      <c r="S29" s="31">
        <f>SUM(S30:S30)*$B29</f>
        <v>0</v>
      </c>
      <c r="T29" s="34">
        <f t="shared" si="10"/>
        <v>1</v>
      </c>
      <c r="U29" s="32">
        <v>3</v>
      </c>
      <c r="V29" s="33">
        <v>20000</v>
      </c>
      <c r="W29" s="31">
        <f>ROUND(SUM(W30:W30),-3)*$B29</f>
        <v>60000</v>
      </c>
      <c r="X29" s="32">
        <f t="shared" si="2"/>
        <v>1.25</v>
      </c>
      <c r="Y29" s="36">
        <f t="shared" si="3"/>
        <v>20000</v>
      </c>
      <c r="Z29" s="36">
        <f>ROUND(W29/12*$B$36,-3)</f>
        <v>25000</v>
      </c>
      <c r="AA29" s="30">
        <f t="shared" si="4"/>
        <v>1</v>
      </c>
      <c r="AB29" s="35">
        <f t="shared" si="5"/>
        <v>20000</v>
      </c>
      <c r="AC29" s="33">
        <f t="shared" si="6"/>
        <v>20000</v>
      </c>
      <c r="AD29" s="36">
        <f>ROUND(IF(T29="-",S29,S29*T29)-(Z29-AC29),-3)</f>
        <v>-5000</v>
      </c>
      <c r="AE29" s="36">
        <f>ROUND(SUM(AE30:AE30),-3)*$B29</f>
        <v>55000</v>
      </c>
    </row>
    <row r="30" ht="36">
      <c r="A30" s="49" t="s">
        <v>63</v>
      </c>
      <c r="B30" s="67" t="s">
        <v>64</v>
      </c>
      <c r="C30" s="39">
        <v>5</v>
      </c>
      <c r="D30" s="39">
        <v>3</v>
      </c>
      <c r="E30" s="39">
        <v>1</v>
      </c>
      <c r="F30" s="40">
        <v>100000</v>
      </c>
      <c r="G30" s="40">
        <v>60000</v>
      </c>
      <c r="H30" s="40">
        <v>20000</v>
      </c>
      <c r="I30" s="41">
        <f t="shared" si="0"/>
        <v>3.4827586206896552</v>
      </c>
      <c r="J30" s="42">
        <f t="shared" si="1"/>
        <v>20000</v>
      </c>
      <c r="K30" s="45">
        <f>I30*J30</f>
        <v>69655.172413793101</v>
      </c>
      <c r="L30" s="45">
        <f>K30</f>
        <v>69655.172413793101</v>
      </c>
      <c r="M30" s="45">
        <f>L30</f>
        <v>69655.172413793101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3">
        <f t="shared" si="10"/>
        <v>1</v>
      </c>
      <c r="U30" s="44">
        <v>3</v>
      </c>
      <c r="V30" s="45">
        <v>20000</v>
      </c>
      <c r="W30" s="45">
        <f>U30*V30</f>
        <v>60000</v>
      </c>
      <c r="X30" s="41">
        <f t="shared" si="2"/>
        <v>1.25</v>
      </c>
      <c r="Y30" s="42">
        <f t="shared" si="3"/>
        <v>20000</v>
      </c>
      <c r="Z30" s="45">
        <f>X30*Y30</f>
        <v>25000</v>
      </c>
      <c r="AA30" s="39">
        <f t="shared" si="4"/>
        <v>1</v>
      </c>
      <c r="AB30" s="47">
        <f t="shared" si="5"/>
        <v>20000</v>
      </c>
      <c r="AC30" s="40">
        <f t="shared" si="6"/>
        <v>20000</v>
      </c>
      <c r="AD30" s="42">
        <f>(IF(T30="-",S30*T$29,S30*T30)-(Z30-AC30))</f>
        <v>-5000</v>
      </c>
      <c r="AE30" s="42">
        <f>W30+AD30</f>
        <v>55000</v>
      </c>
    </row>
    <row r="31" ht="60">
      <c r="A31" s="66" t="s">
        <v>65</v>
      </c>
      <c r="B31" s="68">
        <v>0.5</v>
      </c>
      <c r="C31" s="30">
        <f>SUM(C32:C32)</f>
        <v>0</v>
      </c>
      <c r="D31" s="30">
        <f>SUM(D32:D32)</f>
        <v>0</v>
      </c>
      <c r="E31" s="30">
        <f>SUM(E32:E32)</f>
        <v>0</v>
      </c>
      <c r="F31" s="31">
        <f>SUM(F32:F32)*$B31</f>
        <v>0</v>
      </c>
      <c r="G31" s="31">
        <f>SUM(G32:G32)*$B31</f>
        <v>0</v>
      </c>
      <c r="H31" s="31">
        <f>SUM(H32:H32)*$B31</f>
        <v>0</v>
      </c>
      <c r="I31" s="32">
        <f t="shared" si="0"/>
        <v>0</v>
      </c>
      <c r="J31" s="33">
        <f t="shared" si="1"/>
        <v>0</v>
      </c>
      <c r="K31" s="31">
        <f>ROUND(SUM(K32:K32),-3)*$B31</f>
        <v>0</v>
      </c>
      <c r="L31" s="31">
        <f>ROUND(SUM(L32:L32),-3)*$B31</f>
        <v>0</v>
      </c>
      <c r="M31" s="31">
        <f>ROUND(SUM(M32:M32),-3)*$B31</f>
        <v>0</v>
      </c>
      <c r="N31" s="30">
        <f>SUM(N32:N32)</f>
        <v>0</v>
      </c>
      <c r="O31" s="30">
        <f>SUM(O32:O32)</f>
        <v>0</v>
      </c>
      <c r="P31" s="30">
        <f>SUM(P32:P32)</f>
        <v>0</v>
      </c>
      <c r="Q31" s="31">
        <f>SUM(Q32:Q32)</f>
        <v>0</v>
      </c>
      <c r="R31" s="31">
        <f>SUM(R32:R32)*$B31</f>
        <v>0</v>
      </c>
      <c r="S31" s="31">
        <f>SUM(S32:S32)*$B31</f>
        <v>0</v>
      </c>
      <c r="T31" s="34" t="str">
        <f t="shared" si="10"/>
        <v>-</v>
      </c>
      <c r="U31" s="32">
        <v>0</v>
      </c>
      <c r="V31" s="33">
        <v>0</v>
      </c>
      <c r="W31" s="31">
        <f>ROUND(SUM(W32:W32),-3)*$B31</f>
        <v>0</v>
      </c>
      <c r="X31" s="32">
        <f t="shared" si="2"/>
        <v>0</v>
      </c>
      <c r="Y31" s="36">
        <f t="shared" si="3"/>
        <v>0</v>
      </c>
      <c r="Z31" s="36">
        <f>ROUND(W31/12*$B$36,-3)</f>
        <v>0</v>
      </c>
      <c r="AA31" s="30">
        <f t="shared" si="4"/>
        <v>0</v>
      </c>
      <c r="AB31" s="35">
        <f t="shared" si="5"/>
        <v>0</v>
      </c>
      <c r="AC31" s="33">
        <f t="shared" si="6"/>
        <v>0</v>
      </c>
      <c r="AD31" s="36">
        <f>ROUND(IF(T31="-",S31,S31*T31)-(Z31-AC31),-3)</f>
        <v>0</v>
      </c>
      <c r="AE31" s="36">
        <f>ROUND(SUM(AE32:AE32),-3)*$B31</f>
        <v>0</v>
      </c>
    </row>
    <row r="32" ht="36">
      <c r="A32" s="49" t="s">
        <v>63</v>
      </c>
      <c r="B32" s="69" t="s">
        <v>64</v>
      </c>
      <c r="C32" s="39">
        <v>0</v>
      </c>
      <c r="D32" s="39">
        <v>0</v>
      </c>
      <c r="E32" s="39">
        <v>0</v>
      </c>
      <c r="F32" s="40">
        <v>0</v>
      </c>
      <c r="G32" s="40">
        <v>0</v>
      </c>
      <c r="H32" s="40">
        <v>0</v>
      </c>
      <c r="I32" s="41">
        <f t="shared" si="0"/>
        <v>0</v>
      </c>
      <c r="J32" s="42">
        <f t="shared" si="1"/>
        <v>0</v>
      </c>
      <c r="K32" s="45">
        <f>I32*J32</f>
        <v>0</v>
      </c>
      <c r="L32" s="45">
        <f>K32</f>
        <v>0</v>
      </c>
      <c r="M32" s="45">
        <f>L32</f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3" t="str">
        <f t="shared" si="10"/>
        <v>-</v>
      </c>
      <c r="U32" s="44">
        <v>0</v>
      </c>
      <c r="V32" s="45">
        <v>0</v>
      </c>
      <c r="W32" s="45">
        <f>U32*V32</f>
        <v>0</v>
      </c>
      <c r="X32" s="41">
        <f t="shared" si="2"/>
        <v>0</v>
      </c>
      <c r="Y32" s="42">
        <f t="shared" si="3"/>
        <v>0</v>
      </c>
      <c r="Z32" s="45">
        <f>X32*Y32</f>
        <v>0</v>
      </c>
      <c r="AA32" s="39">
        <f t="shared" si="4"/>
        <v>0</v>
      </c>
      <c r="AB32" s="47">
        <f t="shared" si="5"/>
        <v>0</v>
      </c>
      <c r="AC32" s="40">
        <f t="shared" si="6"/>
        <v>0</v>
      </c>
      <c r="AD32" s="42">
        <v>0</v>
      </c>
      <c r="AE32" s="42">
        <f>W32+AD32</f>
        <v>0</v>
      </c>
    </row>
    <row r="33" ht="72">
      <c r="A33" s="66" t="s">
        <v>66</v>
      </c>
      <c r="B33" s="68">
        <v>0.5</v>
      </c>
      <c r="C33" s="30">
        <f>SUM(C34:C34)</f>
        <v>0</v>
      </c>
      <c r="D33" s="30">
        <f>SUM(D34:D34)</f>
        <v>0</v>
      </c>
      <c r="E33" s="30">
        <f>SUM(E34:E34)</f>
        <v>0</v>
      </c>
      <c r="F33" s="33">
        <f>SUM(F34:F34)*$B33</f>
        <v>0</v>
      </c>
      <c r="G33" s="33">
        <f>SUM(G34:G34)*$B33</f>
        <v>0</v>
      </c>
      <c r="H33" s="33">
        <f>SUM(H34:H34)*$B33</f>
        <v>0</v>
      </c>
      <c r="I33" s="32">
        <f t="shared" si="0"/>
        <v>0</v>
      </c>
      <c r="J33" s="33">
        <f t="shared" si="1"/>
        <v>0</v>
      </c>
      <c r="K33" s="31">
        <f>ROUND(SUM(K34:K34),-3)*$B33</f>
        <v>0</v>
      </c>
      <c r="L33" s="31">
        <f>ROUND(SUM(L34:L34),-3)*$B33</f>
        <v>0</v>
      </c>
      <c r="M33" s="31">
        <f>ROUND(SUM(M34:M34),-3)*$B33</f>
        <v>0</v>
      </c>
      <c r="N33" s="30">
        <f>SUM(N34:N34)</f>
        <v>0</v>
      </c>
      <c r="O33" s="30">
        <f>SUM(O34:O34)</f>
        <v>0</v>
      </c>
      <c r="P33" s="30">
        <f>SUM(P34:P34)</f>
        <v>0</v>
      </c>
      <c r="Q33" s="33">
        <f>SUM(Q34:Q34)</f>
        <v>0</v>
      </c>
      <c r="R33" s="33">
        <f>SUM(R34:R34)*$B33</f>
        <v>0</v>
      </c>
      <c r="S33" s="33">
        <f>SUM(S34:S34)*$B33</f>
        <v>0</v>
      </c>
      <c r="T33" s="34" t="str">
        <f t="shared" si="10"/>
        <v>-</v>
      </c>
      <c r="U33" s="32">
        <v>0</v>
      </c>
      <c r="V33" s="33">
        <v>0</v>
      </c>
      <c r="W33" s="31">
        <f>ROUND(SUM(W34:W34),-3)*$B33</f>
        <v>0</v>
      </c>
      <c r="X33" s="32">
        <f t="shared" si="2"/>
        <v>0</v>
      </c>
      <c r="Y33" s="36">
        <f t="shared" si="3"/>
        <v>0</v>
      </c>
      <c r="Z33" s="36">
        <f>ROUND(W33/12*$B$36,-3)</f>
        <v>0</v>
      </c>
      <c r="AA33" s="30">
        <f t="shared" si="4"/>
        <v>0</v>
      </c>
      <c r="AB33" s="33">
        <f t="shared" si="5"/>
        <v>0</v>
      </c>
      <c r="AC33" s="33">
        <f t="shared" si="6"/>
        <v>0</v>
      </c>
      <c r="AD33" s="36">
        <f>ROUND(IF(T33="-",S33,S33*T33)-(Z33-AC33),-3)</f>
        <v>0</v>
      </c>
      <c r="AE33" s="36">
        <f>ROUND(SUM(AE34:AE34),-3)*$B33</f>
        <v>0</v>
      </c>
    </row>
    <row r="34" ht="24">
      <c r="A34" s="49" t="s">
        <v>67</v>
      </c>
      <c r="B34" s="70" t="s">
        <v>68</v>
      </c>
      <c r="C34" s="39">
        <v>0</v>
      </c>
      <c r="D34" s="39">
        <v>0</v>
      </c>
      <c r="E34" s="39">
        <v>0</v>
      </c>
      <c r="F34" s="40">
        <v>0</v>
      </c>
      <c r="G34" s="40">
        <v>0</v>
      </c>
      <c r="H34" s="40">
        <v>0</v>
      </c>
      <c r="I34" s="41">
        <f t="shared" si="0"/>
        <v>0</v>
      </c>
      <c r="J34" s="42">
        <f t="shared" si="1"/>
        <v>0</v>
      </c>
      <c r="K34" s="45">
        <f>I34*J34</f>
        <v>0</v>
      </c>
      <c r="L34" s="45">
        <f>K34</f>
        <v>0</v>
      </c>
      <c r="M34" s="45">
        <f>L34</f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3" t="str">
        <f t="shared" si="10"/>
        <v>-</v>
      </c>
      <c r="U34" s="44">
        <v>0</v>
      </c>
      <c r="V34" s="45">
        <v>0</v>
      </c>
      <c r="W34" s="45">
        <f>U34*V34</f>
        <v>0</v>
      </c>
      <c r="X34" s="41">
        <f t="shared" si="2"/>
        <v>0</v>
      </c>
      <c r="Y34" s="42">
        <f t="shared" si="3"/>
        <v>0</v>
      </c>
      <c r="Z34" s="45">
        <f>X34*Y34</f>
        <v>0</v>
      </c>
      <c r="AA34" s="39">
        <f t="shared" si="4"/>
        <v>0</v>
      </c>
      <c r="AB34" s="47">
        <f t="shared" si="5"/>
        <v>0</v>
      </c>
      <c r="AC34" s="40">
        <f t="shared" si="6"/>
        <v>0</v>
      </c>
      <c r="AD34" s="42">
        <f>(IF(T34="-",S34,S34*T34)-(Z34-AC34))</f>
        <v>0</v>
      </c>
      <c r="AE34" s="42">
        <f>W34+AD34</f>
        <v>0</v>
      </c>
    </row>
    <row r="35" s="1" customFormat="1" ht="13.199999999999999">
      <c r="A35" s="61"/>
      <c r="B35" s="61"/>
      <c r="C35" s="61"/>
      <c r="D35" s="61"/>
      <c r="E35" s="61"/>
      <c r="F35" s="63"/>
      <c r="G35" s="63"/>
      <c r="H35" s="63"/>
      <c r="I35" s="64"/>
      <c r="J35" s="63"/>
      <c r="K35" s="63"/>
      <c r="L35" s="61"/>
      <c r="M35" s="61"/>
      <c r="N35" s="61"/>
      <c r="O35" s="61"/>
      <c r="P35" s="61"/>
      <c r="Q35" s="63"/>
      <c r="R35" s="63"/>
      <c r="S35" s="63"/>
      <c r="T35" s="63"/>
      <c r="U35" s="64"/>
      <c r="V35" s="63"/>
      <c r="W35" s="63"/>
      <c r="X35" s="61"/>
      <c r="Y35" s="61"/>
      <c r="Z35" s="1"/>
      <c r="AA35" s="63"/>
      <c r="AB35" s="63"/>
      <c r="AC35" s="63"/>
      <c r="AD35" s="1"/>
      <c r="AE35" s="1"/>
    </row>
    <row r="36" s="1" customFormat="1" ht="13.199999999999999">
      <c r="A36" s="61" t="s">
        <v>69</v>
      </c>
      <c r="B36" s="1">
        <v>5</v>
      </c>
      <c r="C36" s="61"/>
      <c r="D36" s="61"/>
      <c r="E36" s="61"/>
      <c r="F36" s="61"/>
      <c r="G36" s="61"/>
      <c r="H36" s="61"/>
      <c r="I36" s="64"/>
      <c r="J36" s="63"/>
      <c r="K36" s="63"/>
      <c r="L36" s="61"/>
      <c r="M36" s="61"/>
      <c r="N36" s="61"/>
      <c r="O36" s="61"/>
      <c r="P36" s="61"/>
      <c r="Q36" s="63"/>
      <c r="R36" s="63"/>
      <c r="S36" s="63"/>
      <c r="T36" s="63"/>
      <c r="U36" s="64"/>
      <c r="V36" s="63"/>
      <c r="W36" s="63"/>
      <c r="X36" s="61"/>
      <c r="Y36" s="61"/>
      <c r="AA36" s="63"/>
      <c r="AB36" s="63"/>
      <c r="AC36" s="63"/>
    </row>
    <row r="37" s="1" customFormat="1" ht="13.199999999999999">
      <c r="A37" s="61"/>
      <c r="B37" s="2"/>
      <c r="C37" s="14"/>
      <c r="D37" s="14"/>
      <c r="E37" s="14"/>
      <c r="F37" s="14"/>
      <c r="G37" s="14"/>
      <c r="H37" s="1"/>
      <c r="K37" s="14"/>
      <c r="N37" s="14"/>
      <c r="O37" s="14"/>
      <c r="P37" s="14"/>
      <c r="Q37" s="14"/>
      <c r="R37" s="14"/>
      <c r="W37" s="14"/>
    </row>
    <row r="38" s="71" customFormat="1" ht="84">
      <c r="A38" s="72" t="s">
        <v>70</v>
      </c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</row>
    <row r="269" ht="13.199999999999999">
      <c r="J269" s="73">
        <v>44321</v>
      </c>
    </row>
  </sheetData>
  <mergeCells count="26">
    <mergeCell ref="AC1:AE1"/>
    <mergeCell ref="A2:M2"/>
    <mergeCell ref="N2:AE2"/>
    <mergeCell ref="A5:E5"/>
    <mergeCell ref="J5:M5"/>
    <mergeCell ref="N5:W5"/>
    <mergeCell ref="AA5:AE5"/>
    <mergeCell ref="A6:E6"/>
    <mergeCell ref="J6:M6"/>
    <mergeCell ref="N6:W6"/>
    <mergeCell ref="AA6:AE6"/>
    <mergeCell ref="A8:A9"/>
    <mergeCell ref="B8:B9"/>
    <mergeCell ref="C8:E8"/>
    <mergeCell ref="F8:H8"/>
    <mergeCell ref="I8:J8"/>
    <mergeCell ref="K8:M8"/>
    <mergeCell ref="N8:P8"/>
    <mergeCell ref="Q8:S8"/>
    <mergeCell ref="T8:T9"/>
    <mergeCell ref="U8:W8"/>
    <mergeCell ref="X8:Z8"/>
    <mergeCell ref="AA8:AC8"/>
    <mergeCell ref="AD8:AD9"/>
    <mergeCell ref="AE8:AE9"/>
    <mergeCell ref="A38:S38"/>
  </mergeCells>
  <printOptions headings="0" gridLines="0"/>
  <pageMargins left="0.59055100000000005" right="0.59055100000000005" top="0.9842519999999999" bottom="0.78740199999999982" header="0.31496099999999999" footer="0.31496099999999999"/>
  <pageSetup paperSize="9" scale="38" fitToWidth="2" fitToHeight="10" pageOrder="downThenOver" orientation="landscape" usePrinterDefaults="1" blackAndWhite="0" draft="0" cellComments="none" useFirstPageNumber="0" errors="displayed" horizontalDpi="600" verticalDpi="600" copies="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GFU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skazhutina</dc:creator>
  <cp:revision>17</cp:revision>
  <dcterms:created xsi:type="dcterms:W3CDTF">2010-05-31T07:08:00Z</dcterms:created>
  <dcterms:modified xsi:type="dcterms:W3CDTF">2025-06-20T03:35:00Z</dcterms:modified>
  <cp:version>1048576</cp:version>
</cp:coreProperties>
</file>